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3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4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45" yWindow="675" windowWidth="9315" windowHeight="3915" tabRatio="828"/>
  </bookViews>
  <sheets>
    <sheet name="Chart1TotalEnrollment" sheetId="44559" r:id="rId1"/>
    <sheet name="Chart2GP-UGRecvgAid" sheetId="29453" r:id="rId2"/>
    <sheet name="Chart3SplitElig_NoNeed" sheetId="5" r:id="rId3"/>
    <sheet name="Chart4TotalAidBySource" sheetId="44560" r:id="rId4"/>
    <sheet name="Chart4a UGTotalAidBySource" sheetId="44573" r:id="rId5"/>
    <sheet name="Chart4bGRADPROFTotalAidBySource" sheetId="44574" r:id="rId6"/>
    <sheet name="Chart5SplitAidEligGP-GU" sheetId="15" r:id="rId7"/>
    <sheet name="Chart6AidByType" sheetId="3" r:id="rId8"/>
    <sheet name="Chart7UndergradNeedBased" sheetId="14" r:id="rId9"/>
    <sheet name="Chart8InStateFreshmanAid" sheetId="4" r:id="rId10"/>
    <sheet name="Chart9NeedAidBySource" sheetId="2" r:id="rId11"/>
    <sheet name="Chart10UGNeedAidBySource " sheetId="44571" r:id="rId12"/>
    <sheet name="Chart11GRADPNeedAidBySource " sheetId="44572" r:id="rId13"/>
    <sheet name="Chart12TOTAL_GiftAidBySource   " sheetId="44563" r:id="rId14"/>
    <sheet name="Chart13UG_GiftAidBySource " sheetId="44561" r:id="rId15"/>
    <sheet name="Chart14GRADPR_GiftAidBySource  " sheetId="44562" r:id="rId16"/>
    <sheet name="Chart15TotalAidByType" sheetId="44565" r:id="rId17"/>
    <sheet name="Chart16UG TotalAidByType " sheetId="44566" r:id="rId18"/>
    <sheet name="Chart17GradProf TotalAidByType" sheetId="44567" r:id="rId19"/>
    <sheet name="Chart18NeedAidByType" sheetId="44568" r:id="rId20"/>
    <sheet name="Chart19UG NeedAidByType" sheetId="44569" r:id="rId21"/>
    <sheet name="Chart20GradProf NeedAidByType" sheetId="44570" r:id="rId22"/>
    <sheet name="SOURCE DATA" sheetId="44575" r:id="rId23"/>
    <sheet name="Updating Instructions" sheetId="44578" r:id="rId24"/>
  </sheets>
  <externalReferences>
    <externalReference r:id="rId25"/>
  </externalReferences>
  <definedNames>
    <definedName name="AllStu_Elig_Num_Total">[1]ChartData!$D$14</definedName>
    <definedName name="AllStu_Enroll_Grad">[1]GradProf!$B$2</definedName>
    <definedName name="AllStu_Enroll_GradProf">[1]GradProf!$B$1</definedName>
    <definedName name="AllStu_Enroll_Prof">[1]GradProf!$B$3</definedName>
    <definedName name="AllStu_Enroll_Total">[1]AllStudents!$B$2</definedName>
    <definedName name="AllStu_Enroll_UGrad">[1]Undergrad!$B$1</definedName>
    <definedName name="AllStu_InElig_Num_Total">[1]ChartData!$R$5</definedName>
    <definedName name="AllStu_Total_RecvingAid">[1]ChartData!$S$5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[1]GradProf!$B$8</definedName>
    <definedName name="GP_AidInElig_Num_Total">[1]GradProf!$B$9</definedName>
    <definedName name="GP_ElAndInEl_Total_RecvingAid">[1]ChartData!$S$4</definedName>
    <definedName name="GP_Elig_Amt_TotFed">[1]GradProf!$D$80+[1]GradProf!$H$80</definedName>
    <definedName name="GP_Elig_Amt_TotGrantSch">[1]GradProf!$D$86+[1]GradProf!$H$86</definedName>
    <definedName name="GP_Elig_Amt_TotLoan">[1]GradProf!$D$87+[1]GradProf!$H$87</definedName>
    <definedName name="GP_Elig_Amt_TotPrivInst">[1]GradProf!$D$82+[1]GradProf!$H$82</definedName>
    <definedName name="GP_Elig_Amt_TotState">[1]GradProf!$D$81+[1]GradProf!$H$81</definedName>
    <definedName name="GP_Elig_Amt_TotWkStdy">[1]GradProf!$D$88+[1]GradProf!$H$88</definedName>
    <definedName name="GP_Elig_NRes_Amt_SourceTotFed">[1]GradProf!$H$80</definedName>
    <definedName name="GP_Elig_NRes_Amt_SourceTotPrivInst">[1]GradProf!$H$82</definedName>
    <definedName name="GP_Elig_NRes_Amt_SourceTotState">[1]GradProf!$H$81</definedName>
    <definedName name="GP_Elig_NRes_Amt_TotAid">[1]GradProf!$H$89</definedName>
    <definedName name="GP_Elig_NRes_Amt_TypeTotLoan">[1]GradProf!$H$87</definedName>
    <definedName name="GP_Elig_NRes_Amt_TypeTotScholGrant">[1]GradProf!$H$86</definedName>
    <definedName name="GP_Elig_NRes_Amt_TypeTotWS">[1]GradProf!$H$88</definedName>
    <definedName name="GP_Elig_NRes_Num_AmIndian">[1]GradProf!$F$54</definedName>
    <definedName name="GP_Elig_NRes_Num_Asian">[1]GradProf!$F$51</definedName>
    <definedName name="GP_Elig_NRes_Num_Black">[1]GradProf!$F$52</definedName>
    <definedName name="GP_Elig_NRes_Num_Depend">[1]GradProf!$F$43</definedName>
    <definedName name="GP_Elig_NRes_Num_DepUnk">[1]GradProf!$F$45</definedName>
    <definedName name="GP_Elig_NRes_Num_EthUnk">[1]GradProf!$F$56</definedName>
    <definedName name="GP_Elig_NRes_Num_Female">[1]GradProf!$F$48</definedName>
    <definedName name="GP_Elig_NRes_Num_FullTime">[1]GradProf!$F$58</definedName>
    <definedName name="GP_Elig_NRes_Num_Grad">[1]GradProf!$F$61</definedName>
    <definedName name="GP_Elig_NRes_Num_GradProfStatUnk">[1]GradProf!$F$63</definedName>
    <definedName name="GP_Elig_NRes_Num_Hisp">[1]GradProf!$F$53</definedName>
    <definedName name="GP_Elig_NRes_Num_Indep">[1]GradProf!$F$44</definedName>
    <definedName name="GP_Elig_NRes_Num_Male">[1]GradProf!$F$47</definedName>
    <definedName name="GP_Elig_NRes_Num_PartTime">[1]GradProf!$F$59</definedName>
    <definedName name="GP_Elig_NRes_Num_Prof">[1]GradProf!$F$62</definedName>
    <definedName name="GP_Elig_NRes_Num_SexUnk">[1]GradProf!$F$49</definedName>
    <definedName name="GP_Elig_NRes_Num_Total">[1]GradProf!$F$41</definedName>
    <definedName name="GP_Elig_NRes_Num_White">[1]GradProf!$F$55</definedName>
    <definedName name="GP_Elig_Num_FedGrants">[1]GradProf!$B$70+[1]GradProf!$F$70</definedName>
    <definedName name="GP_Elig_Num_FedLoans">[1]GradProf!$B$73+[1]GradProf!$F$73</definedName>
    <definedName name="GP_Elig_Num_InstPrivSchGrant">[1]GradProf!$B$72+[1]GradProf!$F$72</definedName>
    <definedName name="GP_Elig_Num_NonFedLoans">[1]GradProf!$B$75+[1]GradProf!$F$75</definedName>
    <definedName name="GP_Elig_Num_StateSchGrant">[1]GradProf!$B$71+[1]GradProf!$F$71</definedName>
    <definedName name="GP_Elig_Num_Total">[1]ChartData!$D$13</definedName>
    <definedName name="GP_Elig_Num_TotRecvgAid">[1]GradProf!$B$77+[1]GradProf!$F$77</definedName>
    <definedName name="GP_Elig_Num_WS">[1]GradProf!$B$76+[1]GradProf!$F$76</definedName>
    <definedName name="GP_Elig_Res_Amt_SourceTotFed">[1]GradProf!$D$80</definedName>
    <definedName name="GP_Elig_Res_Amt_SourceTotPrivInst">[1]GradProf!$D$82</definedName>
    <definedName name="GP_Elig_Res_Amt_SourceTotState">[1]GradProf!$D$81</definedName>
    <definedName name="GP_Elig_Res_Amt_TotAid">[1]GradProf!$D$89</definedName>
    <definedName name="GP_Elig_Res_Amt_TypeTotLoan">[1]GradProf!$D$87</definedName>
    <definedName name="GP_Elig_Res_Amt_TypeTotScholGrant">[1]GradProf!$D$86</definedName>
    <definedName name="GP_Elig_Res_Amt_TypeTotWS">[1]GradProf!$D$88</definedName>
    <definedName name="GP_Elig_Res_Num_AmIndian">[1]GradProf!$B$54</definedName>
    <definedName name="GP_Elig_Res_Num_Asian">[1]GradProf!$B$51</definedName>
    <definedName name="GP_Elig_Res_Num_Black">[1]GradProf!$B$52</definedName>
    <definedName name="GP_Elig_Res_Num_Depend">[1]GradProf!$B$43</definedName>
    <definedName name="GP_Elig_Res_Num_DepUnk">[1]GradProf!$B$45</definedName>
    <definedName name="GP_Elig_Res_Num_EthUnk">[1]GradProf!$B$56</definedName>
    <definedName name="GP_Elig_Res_Num_Female">[1]GradProf!$B$48</definedName>
    <definedName name="GP_Elig_Res_Num_FullTime">[1]GradProf!$B$58</definedName>
    <definedName name="GP_Elig_Res_Num_Grad">[1]GradProf!$B$61</definedName>
    <definedName name="GP_Elig_Res_Num_GradProfStatUnk">[1]GradProf!$B$63</definedName>
    <definedName name="GP_Elig_Res_Num_Hisp">[1]GradProf!$B$53</definedName>
    <definedName name="GP_Elig_Res_Num_Indep">[1]GradProf!$B$44</definedName>
    <definedName name="GP_Elig_Res_Num_Male">[1]GradProf!$B$47</definedName>
    <definedName name="GP_Elig_Res_Num_PartTime">[1]GradProf!$B$59</definedName>
    <definedName name="GP_Elig_Res_Num_Prof">[1]GradProf!$B$62</definedName>
    <definedName name="GP_Elig_Res_Num_SexUnk">[1]GradProf!$B$49</definedName>
    <definedName name="GP_Elig_Res_Num_Total">[1]GradProf!$B$41</definedName>
    <definedName name="GP_Elig_Res_Num_White">[1]GradProf!$B$55</definedName>
    <definedName name="GP_InElig_NRes_Num_AmIndian">[1]GradProf!$N$54</definedName>
    <definedName name="GP_InElig_NRes_Num_Asian">[1]GradProf!$N$51</definedName>
    <definedName name="GP_InElig_NRes_Num_Black">[1]GradProf!$N$52</definedName>
    <definedName name="GP_InElig_NRes_Num_Depend">[1]GradProf!$N$43</definedName>
    <definedName name="GP_InElig_NRes_Num_DepUnk">[1]GradProf!$N$45</definedName>
    <definedName name="GP_InElig_NRes_Num_EthUnk">[1]GradProf!$N$56</definedName>
    <definedName name="GP_InElig_NRes_Num_Female">[1]GradProf!$N$48</definedName>
    <definedName name="GP_InElig_NRes_Num_FullTime">[1]GradProf!$N$58</definedName>
    <definedName name="GP_InElig_NRes_Num_Grad">[1]GradProf!$N$61</definedName>
    <definedName name="GP_InElig_NRes_Num_GradProfUnk">[1]GradProf!$N$63</definedName>
    <definedName name="GP_InElig_NRes_Num_Hisp">[1]GradProf!$N$53</definedName>
    <definedName name="GP_InElig_NRes_Num_Indep">[1]GradProf!$N$44</definedName>
    <definedName name="GP_InElig_NRes_Num_Male">[1]GradProf!$N$47</definedName>
    <definedName name="GP_InElig_NRes_Num_PartTime">[1]GradProf!$N$59</definedName>
    <definedName name="GP_InElig_NRes_Num_Prof">[1]GradProf!$N$62</definedName>
    <definedName name="GP_InElig_NRes_Num_SexUnk">[1]GradProf!$N$49</definedName>
    <definedName name="GP_InElig_NRes_Num_Total">[1]GradProf!$N$41</definedName>
    <definedName name="GP_InElig_NRes_Num_White">[1]GradProf!$N$55</definedName>
    <definedName name="GP_InElig_Num_FedGrants">[1]GradProf!$J$70+[1]GradProf!$N$70</definedName>
    <definedName name="GP_InElig_Num_FedLoans">[1]GradProf!$J$73+[1]GradProf!$N$73</definedName>
    <definedName name="GP_InElig_Num_InstPrivSchGrants">[1]GradProf!$J$72+[1]GradProf!$N$72</definedName>
    <definedName name="GP_InElig_Num_NonFedLoans">[1]GradProf!$J$75+[1]GradProf!$N$75</definedName>
    <definedName name="GP_InElig_Num_StateSchGrants">[1]GradProf!$J$71+[1]GradProf!$N$71</definedName>
    <definedName name="GP_InElig_Num_TotRecvgAid">[1]GradProf!$J$77+[1]GradProf!$N$77</definedName>
    <definedName name="GP_InElig_Num_WS">[1]GradProf!$J$76+[1]GradProf!$N$76</definedName>
    <definedName name="GP_InElig_Res_Num_AmIndian">[1]GradProf!$J$54</definedName>
    <definedName name="GP_InElig_Res_Num_Asian">[1]GradProf!$J$51</definedName>
    <definedName name="GP_InElig_Res_Num_Black">[1]GradProf!$J$52</definedName>
    <definedName name="GP_InElig_Res_Num_Depend">[1]GradProf!$J$43</definedName>
    <definedName name="GP_InElig_Res_Num_DepUnk">[1]GradProf!$J$45</definedName>
    <definedName name="GP_InElig_Res_Num_EthUnk">[1]GradProf!$J$56</definedName>
    <definedName name="GP_InElig_Res_Num_Female">[1]GradProf!$J$48</definedName>
    <definedName name="GP_InElig_Res_Num_FullTime">[1]GradProf!$J$58</definedName>
    <definedName name="GP_InElig_Res_Num_Grad">[1]GradProf!$J$61</definedName>
    <definedName name="GP_InElig_Res_Num_GradProfUnk">[1]GradProf!$J$63</definedName>
    <definedName name="GP_InElig_Res_Num_Hisp">[1]GradProf!$J$53</definedName>
    <definedName name="GP_InElig_Res_Num_Indep">[1]GradProf!$J$44</definedName>
    <definedName name="GP_InElig_Res_Num_Male">[1]GradProf!$J$47</definedName>
    <definedName name="GP_InElig_Res_Num_PartTime">[1]GradProf!$J$59</definedName>
    <definedName name="GP_InElig_Res_Num_Prof">[1]GradProf!$J$62</definedName>
    <definedName name="GP_InElig_Res_Num_SexUnk">[1]GradProf!$J$49</definedName>
    <definedName name="GP_InElig_Res_Num_Total">[1]GradProf!$J$41</definedName>
    <definedName name="GP_InElig_Res_Num_White">[1]GradProf!$J$55</definedName>
    <definedName name="GP_Num_TotRecvingAid">[1]GradProf!$B$7</definedName>
    <definedName name="_xlnm.Print_Area" localSheetId="1">'Chart2GP-UGRecvgAid'!$A$1:$O$32</definedName>
    <definedName name="_xlnm.Print_Area" localSheetId="7">Chart6AidByType!$A$1:$O$30</definedName>
    <definedName name="_xlnm.Print_Area" localSheetId="22">'SOURCE DATA'!$B$2:$O$47</definedName>
    <definedName name="Tot_Funds_Awded_by_SAO">#REF!</definedName>
    <definedName name="Total_Awds_Outside_Sources">#REF!</definedName>
    <definedName name="Total_Awds_UCntld_Sources">#REF!</definedName>
    <definedName name="UG_AidElig_Num_Total">[1]Undergrad!$B$6</definedName>
    <definedName name="UG_AidInElig_Num_Total">[1]Undergrad!$B$7</definedName>
    <definedName name="UG_ElAndInEl_Total_RecvingAid">[1]ChartData!$S$3</definedName>
    <definedName name="UG_Elig_Amt_TotFed">[1]Undergrad!$D$80+[1]Undergrad!$H$80</definedName>
    <definedName name="UG_Elig_Amt_TotGrantSch">[1]Undergrad!$D$86+[1]Undergrad!$H$86</definedName>
    <definedName name="UG_Elig_Amt_TotLoan">[1]Undergrad!$D$87+[1]Undergrad!$H$87</definedName>
    <definedName name="UG_Elig_Amt_TotPrivInst">[1]Undergrad!$D$82+[1]Undergrad!$H$82</definedName>
    <definedName name="UG_Elig_Amt_TotState">[1]Undergrad!$D$81+[1]Undergrad!$H$81</definedName>
    <definedName name="UG_Elig_Amt_TotWkStdy">[1]Undergrad!$D$88+[1]Undergrad!$H$88</definedName>
    <definedName name="UG_Elig_NRes_Amt_SourceTotFed">[1]Undergrad!$H$80</definedName>
    <definedName name="UG_Elig_NRes_Amt_SourceTotPrivState">[1]Undergrad!$H$82</definedName>
    <definedName name="UG_Elig_NRes_Amt_SourceTotState">[1]Undergrad!$H$81</definedName>
    <definedName name="UG_Elig_NRes_Amt_TotAid">[1]Undergrad!$H$89</definedName>
    <definedName name="UG_Elig_NRes_Amt_TypeTotLoan">[1]Undergrad!$H$87</definedName>
    <definedName name="UG_Elig_NRes_Amt_TypeTotScholGrant">[1]Undergrad!$H$86</definedName>
    <definedName name="UG_Elig_NRes_Amt_TypeTotWS">[1]Undergrad!$H$88</definedName>
    <definedName name="UG_Elig_NRes_Num_AmIndian">[1]Undergrad!$F$51</definedName>
    <definedName name="UG_Elig_NRes_Num_Asian">[1]Undergrad!$F$48</definedName>
    <definedName name="UG_Elig_NRes_Num_Black">[1]Undergrad!$F$49</definedName>
    <definedName name="UG_Elig_NRes_Num_ClassOther">[1]Undergrad!$F$62</definedName>
    <definedName name="UG_Elig_NRes_Num_Depend">[1]Undergrad!$F$41</definedName>
    <definedName name="UG_Elig_NRes_Num_DepUnk">[1]Undergrad!$F$43</definedName>
    <definedName name="UG_Elig_NRes_Num_EthUnk">[1]Undergrad!$F$53</definedName>
    <definedName name="UG_Elig_NRes_Num_Female">[1]Undergrad!$F$46</definedName>
    <definedName name="UG_Elig_NRes_Num_Freshman">[1]Undergrad!$F$58</definedName>
    <definedName name="UG_Elig_NRes_Num_FullTime">[1]Undergrad!$F$55</definedName>
    <definedName name="UG_Elig_NRes_Num_Hisp">[1]Undergrad!$F$50</definedName>
    <definedName name="UG_Elig_NRes_Num_Indep">[1]Undergrad!$F$42</definedName>
    <definedName name="UG_Elig_NRes_Num_Jr">[1]Undergrad!$F$60</definedName>
    <definedName name="UG_Elig_NRes_Num_Male">[1]Undergrad!$F$45</definedName>
    <definedName name="UG_Elig_NRes_Num_PartTime">[1]Undergrad!$F$56</definedName>
    <definedName name="UG_Elig_NRes_Num_Soph">[1]Undergrad!$F$59</definedName>
    <definedName name="UG_Elig_NRes_Num_Sr">[1]Undergrad!$F$61</definedName>
    <definedName name="UG_Elig_NRes_Num_Total">[1]Undergrad!$F$39</definedName>
    <definedName name="UG_Elig_NRes_Num_White">[1]Undergrad!$F$52</definedName>
    <definedName name="UG_Elig_Num_FedGrants">[1]Undergrad!$B$70+[1]Undergrad!$F$70</definedName>
    <definedName name="UG_Elig_Num_FedLoans">[1]Undergrad!$B$73+[1]Undergrad!$F$73</definedName>
    <definedName name="UG_Elig_Num_InstPrivSchGrant">[1]Undergrad!$B$72+[1]Undergrad!$F$72</definedName>
    <definedName name="UG_Elig_Num_NonFedLoans">[1]Undergrad!$B$75+[1]Undergrad!$F$75</definedName>
    <definedName name="UG_Elig_Num_StateSchGrant">[1]Undergrad!$B$71+[1]Undergrad!$F$71</definedName>
    <definedName name="UG_Elig_Num_Total">[1]ChartData!$D$12</definedName>
    <definedName name="UG_Elig_Num_TotRecvgAid">[1]Undergrad!$B$77+[1]Undergrad!$F$77</definedName>
    <definedName name="UG_Elig_Num_WS">[1]Undergrad!$B$76+[1]Undergrad!$F$76</definedName>
    <definedName name="UG_Elig_Res_Amt_SourceTotFed">[1]Undergrad!$D$80</definedName>
    <definedName name="UG_Elig_Res_Amt_SourceTotPrivInst">[1]Undergrad!$D$82</definedName>
    <definedName name="UG_Elig_Res_Amt_SourceTotState">[1]Undergrad!$D$81</definedName>
    <definedName name="UG_Elig_Res_Amt_TotAid">[1]Undergrad!$D$89</definedName>
    <definedName name="UG_Elig_Res_Amt_TypeTotLoan">[1]Undergrad!$D$87</definedName>
    <definedName name="UG_Elig_Res_Amt_TypeTotScholGrant">[1]Undergrad!$D$86</definedName>
    <definedName name="UG_Elig_Res_Amt_TypeTotWS">[1]Undergrad!$D$88</definedName>
    <definedName name="UG_Elig_Res_Num_AmIndian">[1]Undergrad!$B$51</definedName>
    <definedName name="UG_Elig_Res_Num_Asian">[1]Undergrad!$B$48</definedName>
    <definedName name="UG_Elig_Res_Num_Black">[1]Undergrad!$B$49</definedName>
    <definedName name="UG_Elig_Res_Num_ClassOther">[1]Undergrad!$B$62</definedName>
    <definedName name="UG_Elig_Res_Num_Depend">[1]Undergrad!$B$41</definedName>
    <definedName name="UG_Elig_Res_Num_DepUnk">[1]Undergrad!$B$43</definedName>
    <definedName name="UG_Elig_Res_Num_EthUnk">[1]Undergrad!$B$53</definedName>
    <definedName name="UG_Elig_Res_Num_Female">[1]Undergrad!$B$46</definedName>
    <definedName name="UG_Elig_Res_Num_Freshman">[1]Undergrad!$B$58</definedName>
    <definedName name="UG_Elig_Res_Num_FullTime">[1]Undergrad!$B$55</definedName>
    <definedName name="UG_Elig_Res_Num_Hisp">[1]Undergrad!$B$50</definedName>
    <definedName name="UG_Elig_Res_Num_Indep">[1]Undergrad!$B$42</definedName>
    <definedName name="UG_Elig_Res_Num_Jr">[1]Undergrad!$B$60</definedName>
    <definedName name="UG_Elig_Res_Num_Male">[1]Undergrad!$B$45</definedName>
    <definedName name="UG_Elig_Res_Num_PartTime">[1]Undergrad!$B$56</definedName>
    <definedName name="UG_Elig_Res_Num_Soph">[1]Undergrad!$B$59</definedName>
    <definedName name="UG_Elig_Res_Num_Sr">[1]Undergrad!$B$61</definedName>
    <definedName name="UG_Elig_Res_Num_Total">[1]Undergrad!$B$39</definedName>
    <definedName name="UG_Elig_Res_Num_White">[1]Undergrad!$B$52</definedName>
    <definedName name="UG_InElig_NRes_Num_AmIndian">[1]Undergrad!$N$51</definedName>
    <definedName name="UG_InElig_NRes_Num_Asian">[1]Undergrad!$N$48</definedName>
    <definedName name="UG_InElig_NRes_Num_Black">[1]Undergrad!$N$49</definedName>
    <definedName name="UG_InElig_NRes_Num_ClassOther">[1]Undergrad!$N$62</definedName>
    <definedName name="UG_InElig_NRes_Num_Depend">[1]Undergrad!$N$41</definedName>
    <definedName name="UG_InElig_NRes_Num_DepUnk">[1]Undergrad!$N$43</definedName>
    <definedName name="UG_InElig_NRes_Num_EthUnk">[1]Undergrad!$N$53</definedName>
    <definedName name="UG_InElig_NRes_Num_Female">[1]Undergrad!$N$46</definedName>
    <definedName name="UG_InElig_NRes_Num_Freshman">[1]Undergrad!$N$58</definedName>
    <definedName name="UG_InElig_NRes_Num_FullTime">[1]Undergrad!$N$55</definedName>
    <definedName name="UG_InElig_NRes_Num_Hisp">[1]Undergrad!$N$50</definedName>
    <definedName name="UG_InElig_NRes_Num_Indep">[1]Undergrad!$N$42</definedName>
    <definedName name="UG_InElig_NRes_Num_Jr">[1]Undergrad!$N$60</definedName>
    <definedName name="UG_InElig_NRes_Num_Male">[1]Undergrad!$N$45</definedName>
    <definedName name="UG_InElig_NRes_Num_PartTime">[1]Undergrad!$N$56</definedName>
    <definedName name="UG_InElig_NRes_Num_Soph">[1]Undergrad!$N$59</definedName>
    <definedName name="UG_InElig_NRes_Num_Sr">[1]Undergrad!$N$61</definedName>
    <definedName name="UG_InElig_NRes_Num_Total">[1]Undergrad!$N$39</definedName>
    <definedName name="UG_InElig_NRes_Num_White">[1]Undergrad!$N$52</definedName>
    <definedName name="UG_InElig_Num_FedGrants">[1]Undergrad!$J$70+[1]Undergrad!$N$70</definedName>
    <definedName name="UG_InElig_Num_FedLoans">[1]Undergrad!$J$73+[1]Undergrad!$N$73</definedName>
    <definedName name="UG_InElig_Num_InstPrivSchGrants">[1]Undergrad!$J$72+[1]Undergrad!$N$72</definedName>
    <definedName name="UG_InElig_Num_NonFedLoans">[1]Undergrad!$J$75+[1]Undergrad!$N$75</definedName>
    <definedName name="UG_InElig_Num_StateSchGrants">[1]Undergrad!$J$71+[1]Undergrad!$N$71</definedName>
    <definedName name="UG_InElig_Num_TotRecvgAid">[1]Undergrad!$J$77+[1]Undergrad!$N$77</definedName>
    <definedName name="UG_InElig_Num_WS">[1]Undergrad!$J$76+[1]Undergrad!$N$76</definedName>
    <definedName name="UG_InElig_Res_ClassOther">[1]Undergrad!$J$62</definedName>
    <definedName name="UG_InElig_Res_Num_AmIndian">[1]Undergrad!$J$51</definedName>
    <definedName name="UG_InElig_Res_Num_Asian">[1]Undergrad!$J$48</definedName>
    <definedName name="UG_InElig_Res_Num_Black">[1]Undergrad!$J$49</definedName>
    <definedName name="UG_InElig_Res_Num_Depend">[1]Undergrad!$J$41</definedName>
    <definedName name="UG_InElig_Res_Num_DepUnk">[1]Undergrad!$J$43</definedName>
    <definedName name="UG_InElig_Res_Num_EthUnk">[1]Undergrad!$J$53</definedName>
    <definedName name="UG_InElig_Res_Num_Female">[1]Undergrad!$J$46</definedName>
    <definedName name="UG_InElig_Res_Num_Freshman">[1]Undergrad!$J$58</definedName>
    <definedName name="UG_InElig_Res_Num_FullTime">[1]Undergrad!$J$55</definedName>
    <definedName name="UG_InElig_Res_Num_Hisp">[1]Undergrad!$J$50</definedName>
    <definedName name="UG_InElig_Res_Num_Indep">[1]Undergrad!$J$42</definedName>
    <definedName name="UG_InElig_Res_Num_Jr">[1]Undergrad!$J$60</definedName>
    <definedName name="UG_InElig_Res_Num_Male">[1]Undergrad!$J$45</definedName>
    <definedName name="UG_InElig_Res_Num_PartTime">[1]Undergrad!$J$56</definedName>
    <definedName name="UG_InElig_Res_Num_Soph">[1]Undergrad!$J$59</definedName>
    <definedName name="UG_InElig_Res_Num_Sr">[1]Undergrad!$J$61</definedName>
    <definedName name="UG_InElig_Res_Num_Total">[1]Undergrad!$J$39</definedName>
    <definedName name="UG_InElig_Res_Num_White">[1]Undergrad!$J$52</definedName>
    <definedName name="UG_Num_TotRecvingAid">[1]Undergrad!$B$5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calcId="145621"/>
</workbook>
</file>

<file path=xl/calcChain.xml><?xml version="1.0" encoding="utf-8"?>
<calcChain xmlns="http://schemas.openxmlformats.org/spreadsheetml/2006/main">
  <c r="H270" i="44575" l="1"/>
  <c r="H275" i="44575"/>
  <c r="H274" i="44575"/>
  <c r="H273" i="44575"/>
  <c r="H272" i="44575"/>
  <c r="H271" i="44575"/>
  <c r="G271" i="44575"/>
  <c r="G272" i="44575"/>
  <c r="G273" i="44575"/>
  <c r="G274" i="44575"/>
  <c r="G275" i="44575"/>
  <c r="G270" i="44575"/>
  <c r="G269" i="44575"/>
  <c r="G268" i="44575"/>
  <c r="H267" i="44575"/>
  <c r="G267" i="44575"/>
  <c r="C250" i="44575"/>
  <c r="C248" i="44575"/>
  <c r="E231" i="44575" l="1"/>
  <c r="C231" i="44575" s="1"/>
  <c r="E232" i="44575"/>
  <c r="C232" i="44575" s="1"/>
  <c r="E230" i="44575"/>
  <c r="C230" i="44575" s="1"/>
  <c r="E224" i="44575"/>
  <c r="C224" i="44575" s="1"/>
  <c r="E225" i="44575"/>
  <c r="C225" i="44575" s="1"/>
  <c r="E223" i="44575"/>
  <c r="C223" i="44575" s="1"/>
  <c r="C229" i="44575"/>
  <c r="C222" i="44575"/>
  <c r="C215" i="44575"/>
  <c r="E210" i="44575"/>
  <c r="C210" i="44575" s="1"/>
  <c r="E211" i="44575"/>
  <c r="C211" i="44575" s="1"/>
  <c r="E209" i="44575"/>
  <c r="C209" i="44575" s="1"/>
  <c r="E203" i="44575"/>
  <c r="C203" i="44575" s="1"/>
  <c r="E204" i="44575"/>
  <c r="C204" i="44575" s="1"/>
  <c r="E202" i="44575"/>
  <c r="C202" i="44575" s="1"/>
  <c r="C208" i="44575"/>
  <c r="C201" i="44575"/>
  <c r="C194" i="44575"/>
  <c r="H37" i="44575"/>
  <c r="C37" i="44575"/>
  <c r="H32" i="44575"/>
  <c r="C32" i="44575"/>
  <c r="H22" i="44575"/>
  <c r="H17" i="44575"/>
  <c r="D50" i="44575" s="1"/>
  <c r="C22" i="44575"/>
  <c r="C17" i="44575"/>
  <c r="C50" i="44575" s="1"/>
  <c r="E189" i="44575"/>
  <c r="C189" i="44575" s="1"/>
  <c r="E190" i="44575"/>
  <c r="C190" i="44575" s="1"/>
  <c r="E188" i="44575"/>
  <c r="C188" i="44575" s="1"/>
  <c r="E182" i="44575"/>
  <c r="C182" i="44575" s="1"/>
  <c r="E183" i="44575"/>
  <c r="C183" i="44575" s="1"/>
  <c r="E181" i="44575"/>
  <c r="C181" i="44575" s="1"/>
  <c r="C187" i="44575"/>
  <c r="C180" i="44575"/>
  <c r="C173" i="44575"/>
  <c r="E168" i="44575"/>
  <c r="C168" i="44575" s="1"/>
  <c r="E169" i="44575"/>
  <c r="C169" i="44575" s="1"/>
  <c r="E167" i="44575"/>
  <c r="C167" i="44575" s="1"/>
  <c r="C166" i="44575"/>
  <c r="E161" i="44575"/>
  <c r="C161" i="44575" s="1"/>
  <c r="E162" i="44575"/>
  <c r="C162" i="44575" s="1"/>
  <c r="E160" i="44575"/>
  <c r="C160" i="44575" s="1"/>
  <c r="C159" i="44575"/>
  <c r="C152" i="44575"/>
  <c r="D51" i="44575" l="1"/>
  <c r="C51" i="44575"/>
  <c r="C147" i="44575" l="1"/>
  <c r="C148" i="44575"/>
  <c r="C146" i="44575"/>
  <c r="C145" i="44575"/>
  <c r="C137" i="44575"/>
  <c r="D132" i="44575"/>
  <c r="D133" i="44575"/>
  <c r="D131" i="44575"/>
  <c r="D128" i="44575"/>
  <c r="D129" i="44575"/>
  <c r="D127" i="44575"/>
  <c r="C125" i="44575"/>
  <c r="A1" i="3" s="1"/>
  <c r="C121" i="44575" l="1"/>
  <c r="C120" i="44575"/>
  <c r="E113" i="44575" l="1"/>
  <c r="C113" i="44575" s="1"/>
  <c r="E114" i="44575"/>
  <c r="C114" i="44575" s="1"/>
  <c r="E112" i="44575"/>
  <c r="C112" i="44575" s="1"/>
  <c r="E106" i="44575"/>
  <c r="C106" i="44575" s="1"/>
  <c r="E107" i="44575"/>
  <c r="C107" i="44575" s="1"/>
  <c r="E105" i="44575"/>
  <c r="C105" i="44575" s="1"/>
  <c r="C111" i="44575"/>
  <c r="C104" i="44575"/>
  <c r="C97" i="44575" l="1"/>
  <c r="C81" i="44575"/>
  <c r="C77" i="44575" s="1"/>
  <c r="C78" i="44575"/>
  <c r="C76" i="44575" s="1"/>
  <c r="C73" i="44575"/>
  <c r="A1" i="29453" s="1"/>
  <c r="C82" i="44575"/>
  <c r="C79" i="44575"/>
  <c r="C13" i="44575"/>
  <c r="C139" i="44575" s="1"/>
  <c r="C138" i="44575" s="1"/>
  <c r="C68" i="44575"/>
  <c r="C67" i="44575"/>
  <c r="C47" i="44575"/>
  <c r="C27" i="44575"/>
  <c r="F50" i="44575" s="1"/>
  <c r="H27" i="44575"/>
  <c r="M30" i="44575"/>
  <c r="E176" i="44575" s="1"/>
  <c r="C176" i="44575" s="1"/>
  <c r="M29" i="44575"/>
  <c r="E175" i="44575" s="1"/>
  <c r="C175" i="44575" s="1"/>
  <c r="M28" i="44575"/>
  <c r="E174" i="44575" s="1"/>
  <c r="C174" i="44575" s="1"/>
  <c r="M40" i="44575"/>
  <c r="E218" i="44575" s="1"/>
  <c r="C218" i="44575" s="1"/>
  <c r="I40" i="44575"/>
  <c r="D232" i="44575" s="1"/>
  <c r="D40" i="44575"/>
  <c r="M39" i="44575"/>
  <c r="E217" i="44575" s="1"/>
  <c r="C217" i="44575" s="1"/>
  <c r="I39" i="44575"/>
  <c r="D231" i="44575" s="1"/>
  <c r="D39" i="44575"/>
  <c r="M38" i="44575"/>
  <c r="E216" i="44575" s="1"/>
  <c r="C216" i="44575" s="1"/>
  <c r="I38" i="44575"/>
  <c r="D230" i="44575" s="1"/>
  <c r="D38" i="44575"/>
  <c r="M37" i="44575"/>
  <c r="M11" i="44575"/>
  <c r="C93" i="44575" s="1"/>
  <c r="M10" i="44575"/>
  <c r="M25" i="44575"/>
  <c r="E197" i="44575" s="1"/>
  <c r="C197" i="44575" s="1"/>
  <c r="M24" i="44575"/>
  <c r="E196" i="44575" s="1"/>
  <c r="C196" i="44575" s="1"/>
  <c r="M23" i="44575"/>
  <c r="M22" i="44575"/>
  <c r="I25" i="44575"/>
  <c r="I24" i="44575"/>
  <c r="I23" i="44575"/>
  <c r="D25" i="44575"/>
  <c r="D24" i="44575"/>
  <c r="D23" i="44575"/>
  <c r="H14" i="44575"/>
  <c r="H13" i="44575"/>
  <c r="C14" i="44575"/>
  <c r="C254" i="44575" s="1"/>
  <c r="M32" i="44575"/>
  <c r="E51" i="44575" s="1"/>
  <c r="M35" i="44575"/>
  <c r="E155" i="44575" s="1"/>
  <c r="C155" i="44575" s="1"/>
  <c r="M34" i="44575"/>
  <c r="M33" i="44575"/>
  <c r="E153" i="44575" s="1"/>
  <c r="C153" i="44575" s="1"/>
  <c r="I35" i="44575"/>
  <c r="D169" i="44575" s="1"/>
  <c r="I34" i="44575"/>
  <c r="D168" i="44575" s="1"/>
  <c r="I33" i="44575"/>
  <c r="D167" i="44575" s="1"/>
  <c r="D35" i="44575"/>
  <c r="D162" i="44575" s="1"/>
  <c r="D34" i="44575"/>
  <c r="D161" i="44575" s="1"/>
  <c r="D33" i="44575"/>
  <c r="D160" i="44575" s="1"/>
  <c r="M20" i="44575"/>
  <c r="E100" i="44575" s="1"/>
  <c r="M19" i="44575"/>
  <c r="E99" i="44575" s="1"/>
  <c r="M18" i="44575"/>
  <c r="E98" i="44575" s="1"/>
  <c r="M17" i="44575"/>
  <c r="H7" i="44575"/>
  <c r="I7" i="44575" s="1"/>
  <c r="C7" i="44575"/>
  <c r="M6" i="44575"/>
  <c r="M5" i="44575"/>
  <c r="C69" i="44575" s="1"/>
  <c r="C66" i="44575" s="1"/>
  <c r="I20" i="44575"/>
  <c r="D114" i="44575" s="1"/>
  <c r="I19" i="44575"/>
  <c r="D113" i="44575" s="1"/>
  <c r="I18" i="44575"/>
  <c r="D112" i="44575" s="1"/>
  <c r="H9" i="44575"/>
  <c r="I6" i="44575"/>
  <c r="D20" i="44575"/>
  <c r="D107" i="44575" s="1"/>
  <c r="D19" i="44575"/>
  <c r="D106" i="44575" s="1"/>
  <c r="D18" i="44575"/>
  <c r="D105" i="44575" s="1"/>
  <c r="C9" i="44575"/>
  <c r="D6" i="44575"/>
  <c r="E50" i="44575" l="1"/>
  <c r="L44" i="44575"/>
  <c r="M13" i="44575"/>
  <c r="M9" i="44575"/>
  <c r="C239" i="44575" s="1"/>
  <c r="C268" i="44575"/>
  <c r="I11" i="44575"/>
  <c r="C238" i="44575"/>
  <c r="D11" i="44575"/>
  <c r="C237" i="44575"/>
  <c r="N11" i="44575"/>
  <c r="C98" i="44575"/>
  <c r="C242" i="44575" s="1"/>
  <c r="E242" i="44575"/>
  <c r="C100" i="44575"/>
  <c r="C244" i="44575" s="1"/>
  <c r="E244" i="44575"/>
  <c r="E195" i="44575"/>
  <c r="C195" i="44575" s="1"/>
  <c r="D223" i="44575"/>
  <c r="C257" i="44575"/>
  <c r="C262" i="44575" s="1"/>
  <c r="D225" i="44575"/>
  <c r="C258" i="44575"/>
  <c r="C264" i="44575" s="1"/>
  <c r="I30" i="44575"/>
  <c r="D190" i="44575" s="1"/>
  <c r="F51" i="44575"/>
  <c r="D7" i="44575"/>
  <c r="C249" i="44575"/>
  <c r="C99" i="44575"/>
  <c r="C243" i="44575" s="1"/>
  <c r="E243" i="44575"/>
  <c r="D224" i="44575"/>
  <c r="C259" i="44575"/>
  <c r="C263" i="44575" s="1"/>
  <c r="D30" i="44575"/>
  <c r="D183" i="44575" s="1"/>
  <c r="C127" i="44575"/>
  <c r="D209" i="44575"/>
  <c r="C129" i="44575"/>
  <c r="D211" i="44575"/>
  <c r="C128" i="44575"/>
  <c r="D210" i="44575"/>
  <c r="C132" i="44575"/>
  <c r="D203" i="44575"/>
  <c r="C131" i="44575"/>
  <c r="D202" i="44575"/>
  <c r="C133" i="44575"/>
  <c r="D204" i="44575"/>
  <c r="I37" i="44575"/>
  <c r="D59" i="44575" s="1"/>
  <c r="D37" i="44575"/>
  <c r="C59" i="44575" s="1"/>
  <c r="N34" i="44575"/>
  <c r="D154" i="44575" s="1"/>
  <c r="E154" i="44575"/>
  <c r="C154" i="44575" s="1"/>
  <c r="I29" i="44575"/>
  <c r="D189" i="44575" s="1"/>
  <c r="C92" i="44575"/>
  <c r="C119" i="44575"/>
  <c r="C118" i="44575" s="1"/>
  <c r="C80" i="44575"/>
  <c r="M14" i="44575"/>
  <c r="N14" i="44575" s="1"/>
  <c r="C140" i="44575"/>
  <c r="N18" i="44575"/>
  <c r="M27" i="44575"/>
  <c r="N28" i="44575" s="1"/>
  <c r="D174" i="44575" s="1"/>
  <c r="D29" i="44575"/>
  <c r="D182" i="44575" s="1"/>
  <c r="C85" i="44575"/>
  <c r="C83" i="44575"/>
  <c r="C84" i="44575"/>
  <c r="C74" i="44575" s="1"/>
  <c r="E2" i="29453" s="1"/>
  <c r="I14" i="44575"/>
  <c r="I22" i="44575"/>
  <c r="D56" i="44575" s="1"/>
  <c r="N38" i="44575"/>
  <c r="D216" i="44575" s="1"/>
  <c r="C15" i="44575"/>
  <c r="C141" i="44575" s="1"/>
  <c r="N23" i="44575"/>
  <c r="N39" i="44575"/>
  <c r="D217" i="44575" s="1"/>
  <c r="N40" i="44575"/>
  <c r="D218" i="44575" s="1"/>
  <c r="N33" i="44575"/>
  <c r="D153" i="44575" s="1"/>
  <c r="N35" i="44575"/>
  <c r="D155" i="44575" s="1"/>
  <c r="D28" i="44575"/>
  <c r="I28" i="44575"/>
  <c r="D32" i="44575"/>
  <c r="C58" i="44575" s="1"/>
  <c r="H15" i="44575"/>
  <c r="I15" i="44575" s="1"/>
  <c r="I32" i="44575"/>
  <c r="D58" i="44575" s="1"/>
  <c r="D22" i="44575"/>
  <c r="C56" i="44575" s="1"/>
  <c r="N24" i="44575"/>
  <c r="D14" i="44575"/>
  <c r="D254" i="44575" s="1"/>
  <c r="N25" i="44575"/>
  <c r="N6" i="44575"/>
  <c r="C86" i="44575" s="1"/>
  <c r="N19" i="44575"/>
  <c r="N20" i="44575"/>
  <c r="M7" i="44575"/>
  <c r="N7" i="44575" s="1"/>
  <c r="D17" i="44575"/>
  <c r="C55" i="44575" s="1"/>
  <c r="I17" i="44575"/>
  <c r="D55" i="44575" s="1"/>
  <c r="D5" i="44575"/>
  <c r="C52" i="44575" s="1"/>
  <c r="I5" i="44575"/>
  <c r="D52" i="44575" s="1"/>
  <c r="D10" i="44575"/>
  <c r="N10" i="44575"/>
  <c r="I10" i="44575"/>
  <c r="F52" i="44575" l="1"/>
  <c r="I9" i="44575"/>
  <c r="D53" i="44575" s="1"/>
  <c r="D9" i="44575"/>
  <c r="C53" i="44575" s="1"/>
  <c r="N9" i="44575"/>
  <c r="E53" i="44575" s="1"/>
  <c r="C91" i="44575"/>
  <c r="C90" i="44575" s="1"/>
  <c r="D98" i="44575"/>
  <c r="D242" i="44575" s="1"/>
  <c r="C270" i="44575"/>
  <c r="D100" i="44575"/>
  <c r="D244" i="44575" s="1"/>
  <c r="D245" i="44575" s="1"/>
  <c r="C272" i="44575"/>
  <c r="D99" i="44575"/>
  <c r="D243" i="44575" s="1"/>
  <c r="C271" i="44575"/>
  <c r="D195" i="44575"/>
  <c r="C273" i="44575"/>
  <c r="D197" i="44575"/>
  <c r="C274" i="44575"/>
  <c r="D196" i="44575"/>
  <c r="C275" i="44575"/>
  <c r="C251" i="44575"/>
  <c r="E245" i="44575"/>
  <c r="E267" i="44575" s="1"/>
  <c r="C269" i="44575" s="1"/>
  <c r="D237" i="44575"/>
  <c r="D238" i="44575"/>
  <c r="C245" i="44575"/>
  <c r="C267" i="44575" s="1"/>
  <c r="N29" i="44575"/>
  <c r="D175" i="44575" s="1"/>
  <c r="I27" i="44575"/>
  <c r="D57" i="44575" s="1"/>
  <c r="D188" i="44575"/>
  <c r="I13" i="44575"/>
  <c r="D54" i="44575" s="1"/>
  <c r="D27" i="44575"/>
  <c r="C57" i="44575" s="1"/>
  <c r="D181" i="44575"/>
  <c r="N37" i="44575"/>
  <c r="E59" i="44575" s="1"/>
  <c r="N32" i="44575"/>
  <c r="E58" i="44575" s="1"/>
  <c r="N30" i="44575"/>
  <c r="C75" i="44575"/>
  <c r="E3" i="29453" s="1"/>
  <c r="N5" i="44575"/>
  <c r="E52" i="44575" s="1"/>
  <c r="N22" i="44575"/>
  <c r="E56" i="44575" s="1"/>
  <c r="M15" i="44575"/>
  <c r="N15" i="44575" s="1"/>
  <c r="N13" i="44575" s="1"/>
  <c r="E54" i="44575" s="1"/>
  <c r="D15" i="44575"/>
  <c r="D13" i="44575" s="1"/>
  <c r="C54" i="44575" s="1"/>
  <c r="N17" i="44575"/>
  <c r="E55" i="44575" s="1"/>
  <c r="D248" i="44575" l="1"/>
  <c r="D250" i="44575"/>
  <c r="D249" i="44575"/>
  <c r="N27" i="44575"/>
  <c r="E57" i="44575" s="1"/>
  <c r="D176" i="44575"/>
</calcChain>
</file>

<file path=xl/sharedStrings.xml><?xml version="1.0" encoding="utf-8"?>
<sst xmlns="http://schemas.openxmlformats.org/spreadsheetml/2006/main" count="404" uniqueCount="241">
  <si>
    <t>All Students Receiving Aid</t>
  </si>
  <si>
    <t>Students Receiving Need-Based Aid</t>
  </si>
  <si>
    <t>Grants &amp; Scholarships</t>
  </si>
  <si>
    <t>Total Federal Grant Aid</t>
  </si>
  <si>
    <t>Total State Scholarships/Grants</t>
  </si>
  <si>
    <t>Total</t>
  </si>
  <si>
    <t>Undergraduate</t>
  </si>
  <si>
    <t>Not Receiving Aid</t>
  </si>
  <si>
    <t>Work-Study</t>
  </si>
  <si>
    <t>Loans</t>
  </si>
  <si>
    <t>Chart 8 Data Per Shirley</t>
  </si>
  <si>
    <t>Chart 1</t>
  </si>
  <si>
    <t>Fact Book Figure 1</t>
  </si>
  <si>
    <t>Total Enrollment</t>
  </si>
  <si>
    <t>Chart 2</t>
  </si>
  <si>
    <t>Percentages of Enrolled Students Receiving Any Aid</t>
  </si>
  <si>
    <t>Total Undergraduate Enrollment</t>
  </si>
  <si>
    <t>Grad/Prof Receiving Aid</t>
  </si>
  <si>
    <t>Grad/Prof Not Receiving Aid</t>
  </si>
  <si>
    <t>SOURCE</t>
  </si>
  <si>
    <t>Total Student Population Receiving Aid</t>
  </si>
  <si>
    <t>Chart 3</t>
  </si>
  <si>
    <t>All Students Receiving Any Aid</t>
  </si>
  <si>
    <t>Grad/Prof Receiving Need-Based Aid</t>
  </si>
  <si>
    <t>Grad/Prof Receiving Non-Need-Based Aid</t>
  </si>
  <si>
    <t>Chart 4</t>
  </si>
  <si>
    <t>Undergrad Enrollment</t>
  </si>
  <si>
    <t>Undergrad Receiving Aid</t>
  </si>
  <si>
    <t>Undergrad Not Receiving Aid</t>
  </si>
  <si>
    <t>Undergrad Receiving Need-Based Aid</t>
  </si>
  <si>
    <t>Undergrad Receiving Non-Need-Based Aid</t>
  </si>
  <si>
    <t>Undergrad Federal Aid</t>
  </si>
  <si>
    <t>Undergrad State Aid</t>
  </si>
  <si>
    <t>Undergrad Institutional &amp; Private Aid</t>
  </si>
  <si>
    <t>Grad/Prof Enrollment</t>
  </si>
  <si>
    <t>Grad/Prof Federal Aid</t>
  </si>
  <si>
    <t>Grad/Prof State Aid</t>
  </si>
  <si>
    <t>Grad/Prof Institutional &amp; Private Aid</t>
  </si>
  <si>
    <t>Total Receiving Aid</t>
  </si>
  <si>
    <t>Total Not Receiving Aid</t>
  </si>
  <si>
    <t>Total Receiving Need-Based Aid</t>
  </si>
  <si>
    <t>Total Receiving Non-Need-Based Aid</t>
  </si>
  <si>
    <t>Total Federal Aid</t>
  </si>
  <si>
    <t>Total State Aid</t>
  </si>
  <si>
    <t>Total Institutional &amp; Private Aid</t>
  </si>
  <si>
    <t>formula</t>
  </si>
  <si>
    <t xml:space="preserve">Total UNC-CH Enrollment </t>
  </si>
  <si>
    <t>Total Aid Distributed to All Students, By Source</t>
  </si>
  <si>
    <t>Chart 5</t>
  </si>
  <si>
    <t>Total Aid Distributed to Undergraduate Students, By Source</t>
  </si>
  <si>
    <t>Chart 6</t>
  </si>
  <si>
    <t>Chart 4a</t>
  </si>
  <si>
    <t>Chart 4b</t>
  </si>
  <si>
    <t>Total Aid Distributed to Graduate/Professional Students, By Source</t>
  </si>
  <si>
    <t>All Students Receiving Need-Based Aid</t>
  </si>
  <si>
    <t>Need-Based Aid Distributed to Students, By Type</t>
  </si>
  <si>
    <t>Chart 7</t>
  </si>
  <si>
    <t>Needy Undergrad Federal Aid</t>
  </si>
  <si>
    <t>Needy Undergrad State Aid</t>
  </si>
  <si>
    <t>Needy Undergrad Institutional &amp; Private Aid</t>
  </si>
  <si>
    <t>Needy Grad/Prof Federal Aid</t>
  </si>
  <si>
    <t>Needy Grad/Prof State Aid</t>
  </si>
  <si>
    <t>Needy Grad/Prof Institutional &amp; Private Aid</t>
  </si>
  <si>
    <t>Needy Total Federal Aid</t>
  </si>
  <si>
    <t>Needy Total State Aid</t>
  </si>
  <si>
    <t>Needy Total Institutional &amp; Private Aid</t>
  </si>
  <si>
    <t>Percent of All Undergraduate Students Receiving Need-Based Aid</t>
  </si>
  <si>
    <t>Undergrad Not Receiving Need-Based Aid</t>
  </si>
  <si>
    <t>Grad/Prof Not Receiving Need-Based Aid</t>
  </si>
  <si>
    <t>Total Not Receiving Need-Based Aid</t>
  </si>
  <si>
    <t>Chart 8</t>
  </si>
  <si>
    <t>Typical Financial Aid Package for Aid-Eligible Freshman Applying by March 1st</t>
  </si>
  <si>
    <t>Chart 9</t>
  </si>
  <si>
    <t>Need-Based Aid Distributed to All Students, By Source</t>
  </si>
  <si>
    <t>Chart 10</t>
  </si>
  <si>
    <t>Need-Based Aid Distributed to Undergraduates, By Source</t>
  </si>
  <si>
    <t>Chart 11</t>
  </si>
  <si>
    <t>Need-Based Aid Distributed to Graduate/Professional Students, By Source</t>
  </si>
  <si>
    <t>Chart 12</t>
  </si>
  <si>
    <t>Undergrad Grant Aid</t>
  </si>
  <si>
    <t>Undergrad Loan Aid</t>
  </si>
  <si>
    <t>Undergrad Work Study Aid</t>
  </si>
  <si>
    <t>Grad/Prof Grant Aid</t>
  </si>
  <si>
    <t>Grad/Prof Loan Aid</t>
  </si>
  <si>
    <t>Grad/Prof Work Study Aid</t>
  </si>
  <si>
    <t>Total Grant Aid</t>
  </si>
  <si>
    <t>Total Loan Aid</t>
  </si>
  <si>
    <t>Total Work Study Aid</t>
  </si>
  <si>
    <t>Gift Aid Distributed to All Students, By Source</t>
  </si>
  <si>
    <t>Chart 13</t>
  </si>
  <si>
    <t>Gift Aid Distributed to Undergraduates, By Source</t>
  </si>
  <si>
    <t>Chart 14</t>
  </si>
  <si>
    <t>Gift Aid Distributes to Graduate/Professional Students, By Source</t>
  </si>
  <si>
    <t>Chart 15</t>
  </si>
  <si>
    <t>Total Aid Distributed to All Students, By Type</t>
  </si>
  <si>
    <t>Chart 16</t>
  </si>
  <si>
    <t>Chart 17</t>
  </si>
  <si>
    <t>Total Aid Distributed to Graduate/Professional Students, By Type</t>
  </si>
  <si>
    <t>Total Aid Distributed to Undergraduate Students, By Type</t>
  </si>
  <si>
    <t>Chart 18</t>
  </si>
  <si>
    <t>Need-Based Aid Distributed to All Students, By Type</t>
  </si>
  <si>
    <t>Chart 19</t>
  </si>
  <si>
    <t>Need-Based Aid Distributed to Undergraduate Students, By Type</t>
  </si>
  <si>
    <t>Chart 20</t>
  </si>
  <si>
    <t>Need-Based Aid Distributed to Graduate/Professional Students, By Type</t>
  </si>
  <si>
    <t>Needy Undergrad Grant Aid</t>
  </si>
  <si>
    <t>Needy Undergrad Loan Aid</t>
  </si>
  <si>
    <t>Needy Undergrad Work Study Aid</t>
  </si>
  <si>
    <t>Needy Grad/Prof Grant Aid</t>
  </si>
  <si>
    <t>Needy Grad/Prof Loan Aid</t>
  </si>
  <si>
    <t>Needy Grad/Prof Work Study Aid</t>
  </si>
  <si>
    <t>Needy Total Grant Aid</t>
  </si>
  <si>
    <t>Needy Total Loan Aid</t>
  </si>
  <si>
    <t>Needy Total Work Study Aid</t>
  </si>
  <si>
    <t>Undergrad Federal Grant Aid</t>
  </si>
  <si>
    <t>Undergrad State Scholarships/Grants</t>
  </si>
  <si>
    <t>Undergrad Institutional/Private Scholarships/Grants</t>
  </si>
  <si>
    <t>Total Institutional/Private Scholarships/Grants</t>
  </si>
  <si>
    <t>Grad/Prof Federal Grant Aid</t>
  </si>
  <si>
    <t>Grad/Prof State Scholarships/Grants</t>
  </si>
  <si>
    <t>Grad/Prof Institutional/Private Scholarships/Grants</t>
  </si>
  <si>
    <t>Undergrad Gift Aid</t>
  </si>
  <si>
    <t>Grad/Prof Gift Aid</t>
  </si>
  <si>
    <t>Total Gift Aid</t>
  </si>
  <si>
    <t>email from Shirley</t>
  </si>
  <si>
    <t>Graduate &amp; Professional</t>
  </si>
  <si>
    <t>Title</t>
  </si>
  <si>
    <t>Undergraduates</t>
  </si>
  <si>
    <t>Receiving Aid</t>
  </si>
  <si>
    <t>Grad/Prof</t>
  </si>
  <si>
    <t>Total Student Population</t>
  </si>
  <si>
    <t>Total Student Population Receiving Aid %</t>
  </si>
  <si>
    <t>Title 1</t>
  </si>
  <si>
    <t>Title 2</t>
  </si>
  <si>
    <t>Title 3</t>
  </si>
  <si>
    <t>Title 4</t>
  </si>
  <si>
    <t>Title 5</t>
  </si>
  <si>
    <t>Students Receiving Non-Need-Based Aid</t>
  </si>
  <si>
    <t>Federal</t>
  </si>
  <si>
    <t>State</t>
  </si>
  <si>
    <t>Institutional &amp; Private</t>
  </si>
  <si>
    <t>%</t>
  </si>
  <si>
    <t>Graduate &amp; Professional Students</t>
  </si>
  <si>
    <t>Undergraduate Students</t>
  </si>
  <si>
    <t>Undergrads Receiving Need-Based Aid</t>
  </si>
  <si>
    <t>Undergrads Not Eligible for Need-Based Aid</t>
  </si>
  <si>
    <t>Grant</t>
  </si>
  <si>
    <t>Loan</t>
  </si>
  <si>
    <t>Work Study</t>
  </si>
  <si>
    <t>UNDERGRADUATE</t>
  </si>
  <si>
    <t>VALUE</t>
  </si>
  <si>
    <t>GRADUATE/PROFESSIONAL</t>
  </si>
  <si>
    <t>TOTAL</t>
  </si>
  <si>
    <t>DATA CHECKS</t>
  </si>
  <si>
    <t>GB Table 1 - Number Total Students</t>
  </si>
  <si>
    <t>GB Table 7 - Number Total Students</t>
  </si>
  <si>
    <t>GB Table 1 - Total Federal</t>
  </si>
  <si>
    <t>GB Table 7 - Total Federal</t>
  </si>
  <si>
    <t>GB Table 1 - Total State</t>
  </si>
  <si>
    <t>GB Table 7 - Total State</t>
  </si>
  <si>
    <t>GB Table 1 - Total Institutional/Private</t>
  </si>
  <si>
    <t>GB Table 7 - Total Institutional/Private</t>
  </si>
  <si>
    <t>GB Table 1 - Total Grant</t>
  </si>
  <si>
    <t>GB Table 7 - Total Grant</t>
  </si>
  <si>
    <t>GB Table 1 - Total Loan</t>
  </si>
  <si>
    <t>GB Table 7 - Total Loan</t>
  </si>
  <si>
    <t>GB Table 1 - Total Work Study</t>
  </si>
  <si>
    <t>GB Table 7 - Total Work Study</t>
  </si>
  <si>
    <t>GB Table 1 - Total Federal Grant Aid</t>
  </si>
  <si>
    <t>GB Table 7 - Total Federal Grant Aid</t>
  </si>
  <si>
    <t>GB Table 1 - Total State Scholarships/Grants</t>
  </si>
  <si>
    <t>GB Table 7 - Total State Scholarships/Grants</t>
  </si>
  <si>
    <t>GB Table 1 - Total Institutional/Private Scholarships/Grants</t>
  </si>
  <si>
    <t>GB Table 7 - Total Institutional/Private Scholarships/Grants</t>
  </si>
  <si>
    <t>GB Table 2 - Total Needy Federal</t>
  </si>
  <si>
    <t>GB Table 8 - Total Needy Federal</t>
  </si>
  <si>
    <t>GB Table 2 - Total Needy State</t>
  </si>
  <si>
    <t>GB Table 8 - Total Needy State</t>
  </si>
  <si>
    <t>GB Table 2 - Total Needy Institutional/Private</t>
  </si>
  <si>
    <t>GB Table 8 - Total Needy Institutional/Private</t>
  </si>
  <si>
    <t>GB Table 2 - Total Needy Grant</t>
  </si>
  <si>
    <t>GB Table 8 - Total Needy Grant</t>
  </si>
  <si>
    <t>GB Table 2 - Total Needy Loan</t>
  </si>
  <si>
    <t>GB Table 8 - Total Needy Loan</t>
  </si>
  <si>
    <t>GB Table 2 - Total Needy Work Study</t>
  </si>
  <si>
    <t>GB Table 8 - Total Needy Work Study</t>
  </si>
  <si>
    <t>GB Table 2 - Students with Financial Need</t>
  </si>
  <si>
    <t>GB Table 2 - Students Without Financial Need</t>
  </si>
  <si>
    <t>GB Table 8 - Students with Financial Need</t>
  </si>
  <si>
    <t>GB Table 8 - Students Without Financial Need</t>
  </si>
  <si>
    <t>Instructions for Updating Faculty Council Charts</t>
  </si>
  <si>
    <t>Greenbook Tables 1, 2, 7, and 8</t>
  </si>
  <si>
    <t>email from Shirley with average first-year financial aid package</t>
  </si>
  <si>
    <t xml:space="preserve">Data Needed: </t>
  </si>
  <si>
    <t>Go to Sheet labeled "SOURCE DATA"</t>
  </si>
  <si>
    <t>The rest of the outlined cells should automatically update using existing formulas</t>
  </si>
  <si>
    <t>The source data for each chart is highlighted in pink</t>
  </si>
  <si>
    <t>These source data, as well as all chart titles, should automatically update using existing formulas</t>
  </si>
  <si>
    <t>Check that each of the 22 charts has updated correctly and that data displayed on charts match data from Greenbook</t>
  </si>
  <si>
    <t>Fill in all 42 cells highlighted in blue (source info for each cell can be found in the corresponding Source column)</t>
  </si>
  <si>
    <t>Aid Year Reported</t>
  </si>
  <si>
    <t>Check to see that all of the "data checks" display "TRUE"</t>
  </si>
  <si>
    <t>If any data checks are "FALSE," check entered data; sometimes totals are $1 off due to rounding which is fine</t>
  </si>
  <si>
    <t>Undergrad Total Aid Awarded by Source</t>
  </si>
  <si>
    <t>Undergrad Total Aid Awarded by Type</t>
  </si>
  <si>
    <t>Grad/Prof Total Aid Awarded by Source</t>
  </si>
  <si>
    <t>Grad/Prof Total Aid Awarded by Type</t>
  </si>
  <si>
    <t>Total Total Aid Awarded by Source</t>
  </si>
  <si>
    <t>Total Total Aid Awarded by Type</t>
  </si>
  <si>
    <t>Needy Undergrad Aid Awarded by Source</t>
  </si>
  <si>
    <t>Needy Undergrad Total Aid Awarded by Type</t>
  </si>
  <si>
    <t>Needy Grad/Prof Aid Awarded by Source</t>
  </si>
  <si>
    <t>Needy Grad/Prof Total Aid Awarded by Type</t>
  </si>
  <si>
    <t>Needy Total Aid Awarded by Source</t>
  </si>
  <si>
    <t>Needy Total Aid Awarded by Type</t>
  </si>
  <si>
    <t>Typical Financial Aid Package for Aid-Eligible Freshmen</t>
  </si>
  <si>
    <t>Fine tune any formatting, labels, etc.</t>
  </si>
  <si>
    <t>Faculty Council Presentation - Slide 5</t>
  </si>
  <si>
    <t>Graduate/Professional Students</t>
  </si>
  <si>
    <t>Faculty Council Presentation - Slide 6</t>
  </si>
  <si>
    <t>Faculty Council Presentation - Slide 7</t>
  </si>
  <si>
    <t>Aided Needy Undergraduates</t>
  </si>
  <si>
    <t>Non-Aided Undergraduates</t>
  </si>
  <si>
    <t>Aided Non-Needy Undergraduates</t>
  </si>
  <si>
    <t>Total Undergraduates</t>
  </si>
  <si>
    <t>Faculty Council Presentation - Slide 8</t>
  </si>
  <si>
    <t>Need-Based Aid Recipients</t>
  </si>
  <si>
    <t>Faculty Council Presentation - Slide 9</t>
  </si>
  <si>
    <t>Faculty Council Presentation - Slide 10</t>
  </si>
  <si>
    <t>Faculty Council Presentation - Slide 16</t>
  </si>
  <si>
    <t>Total Aid Awarded</t>
  </si>
  <si>
    <t>Number of Students</t>
  </si>
  <si>
    <t>Average Award</t>
  </si>
  <si>
    <t>Institutional/Private</t>
  </si>
  <si>
    <t>Scholarships/Grants</t>
  </si>
  <si>
    <t>2001-2002 Comparison</t>
  </si>
  <si>
    <t>ugrad</t>
  </si>
  <si>
    <t>grad/prof</t>
  </si>
  <si>
    <t>DEM 1/2013</t>
  </si>
  <si>
    <t>2013-2014</t>
  </si>
  <si>
    <t>*CJE Note:  All "FALSE" results are due to simple rounding and differences are 1 or 2 dollars.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</si>
</sst>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"/>
    <numFmt numFmtId="166" formatCode="_(* #,##0_);_(* \(#,##0\);_(* &quot;-&quot;??_);_(@_)"/>
    <numFmt numFmtId="167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9" fontId="0" fillId="0" borderId="0" xfId="1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9" fontId="0" fillId="0" borderId="0" xfId="1" applyFont="1" applyFill="1"/>
    <xf numFmtId="166" fontId="0" fillId="2" borderId="0" xfId="2" applyNumberFormat="1" applyFont="1" applyFill="1"/>
    <xf numFmtId="0" fontId="1" fillId="0" borderId="1" xfId="0" applyFont="1" applyBorder="1"/>
    <xf numFmtId="9" fontId="0" fillId="2" borderId="0" xfId="0" applyNumberFormat="1" applyFill="1"/>
    <xf numFmtId="9" fontId="0" fillId="2" borderId="0" xfId="1" applyFont="1" applyFill="1"/>
    <xf numFmtId="164" fontId="0" fillId="2" borderId="0" xfId="0" applyNumberFormat="1" applyFill="1"/>
    <xf numFmtId="165" fontId="0" fillId="2" borderId="0" xfId="3" applyNumberFormat="1" applyFont="1" applyFill="1"/>
    <xf numFmtId="165" fontId="0" fillId="0" borderId="0" xfId="3" applyNumberFormat="1" applyFont="1" applyFill="1"/>
    <xf numFmtId="166" fontId="0" fillId="0" borderId="0" xfId="2" applyNumberFormat="1" applyFont="1" applyFill="1"/>
    <xf numFmtId="0" fontId="1" fillId="3" borderId="1" xfId="0" applyFont="1" applyFill="1" applyBorder="1"/>
    <xf numFmtId="9" fontId="0" fillId="0" borderId="1" xfId="1" applyFont="1" applyBorder="1"/>
    <xf numFmtId="164" fontId="0" fillId="0" borderId="1" xfId="1" applyNumberFormat="1" applyFont="1" applyBorder="1"/>
    <xf numFmtId="0" fontId="0" fillId="3" borderId="1" xfId="0" applyFill="1" applyBorder="1"/>
    <xf numFmtId="9" fontId="0" fillId="3" borderId="1" xfId="1" applyFont="1" applyFill="1" applyBorder="1"/>
    <xf numFmtId="0" fontId="2" fillId="0" borderId="0" xfId="0" applyFont="1" applyAlignment="1">
      <alignment horizontal="center" vertical="center"/>
    </xf>
    <xf numFmtId="166" fontId="0" fillId="0" borderId="0" xfId="2" applyNumberFormat="1" applyFont="1"/>
    <xf numFmtId="165" fontId="0" fillId="0" borderId="0" xfId="0" applyNumberFormat="1"/>
    <xf numFmtId="164" fontId="0" fillId="0" borderId="0" xfId="1" applyNumberFormat="1" applyFont="1"/>
    <xf numFmtId="9" fontId="0" fillId="0" borderId="0" xfId="1" applyNumberFormat="1" applyFont="1"/>
    <xf numFmtId="164" fontId="0" fillId="0" borderId="0" xfId="0" applyNumberFormat="1"/>
    <xf numFmtId="167" fontId="0" fillId="0" borderId="0" xfId="0" applyNumberFormat="1"/>
    <xf numFmtId="1" fontId="0" fillId="0" borderId="0" xfId="0" applyNumberFormat="1"/>
    <xf numFmtId="10" fontId="0" fillId="0" borderId="1" xfId="1" applyNumberFormat="1" applyFont="1" applyBorder="1"/>
    <xf numFmtId="0" fontId="0" fillId="4" borderId="1" xfId="0" applyFill="1" applyBorder="1"/>
    <xf numFmtId="0" fontId="2" fillId="0" borderId="0" xfId="0" quotePrefix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9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9.xml"/><Relationship Id="rId24" Type="http://schemas.openxmlformats.org/officeDocument/2006/relationships/worksheet" Target="worksheets/sheet4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DATA'!$C$66</c:f>
          <c:strCache>
            <c:ptCount val="1"/>
            <c:pt idx="0">
              <c:v>Total UNC-CH Enrollment 2013-2014
29,127 Students</c:v>
            </c:pt>
          </c:strCache>
        </c:strRef>
      </c:tx>
      <c:layout>
        <c:manualLayout>
          <c:xMode val="edge"/>
          <c:yMode val="edge"/>
          <c:x val="0.23708656274674636"/>
          <c:y val="1.9373996130076072E-2"/>
        </c:manualLayout>
      </c:layout>
      <c:overlay val="0"/>
      <c:spPr>
        <a:noFill/>
        <a:ln w="25400">
          <a:noFill/>
        </a:ln>
      </c:spPr>
      <c:txPr>
        <a:bodyPr anchor="ctr" anchorCtr="1"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73451327433629"/>
          <c:y val="0.14008941877794345"/>
          <c:w val="0.62389380530973482"/>
          <c:h val="0.84053651266766016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0"/>
                  <c:y val="-4.96124060079295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'SOURCE DATA'!$B$67:$B$68</c:f>
              <c:strCache>
                <c:ptCount val="2"/>
                <c:pt idx="0">
                  <c:v>Undergraduate</c:v>
                </c:pt>
                <c:pt idx="1">
                  <c:v>Graduate &amp; Professional</c:v>
                </c:pt>
              </c:strCache>
            </c:strRef>
          </c:cat>
          <c:val>
            <c:numRef>
              <c:f>'SOURCE DATA'!$C$67:$C$68</c:f>
              <c:numCache>
                <c:formatCode>_(* #,##0_);_(* \(#,##0\);_(* "-"??_);_(@_)</c:formatCode>
                <c:ptCount val="2"/>
                <c:pt idx="0">
                  <c:v>18370</c:v>
                </c:pt>
                <c:pt idx="1">
                  <c:v>10757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Graduate &amp; Professional Students</a:t>
            </a:r>
          </a:p>
        </c:rich>
      </c:tx>
      <c:layout>
        <c:manualLayout>
          <c:xMode val="edge"/>
          <c:yMode val="edge"/>
          <c:x val="0.14317673378076068"/>
          <c:y val="1.0615711252653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14093959731599E-2"/>
          <c:y val="0.14012738853503193"/>
          <c:w val="0.87248322147651003"/>
          <c:h val="0.828025477707006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2835820895522387E-2"/>
                  <c:y val="-0.130403968816442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3.8805970149253619E-2"/>
                  <c:y val="8.5046066619418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95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'SOURCE DATA'!$B$127:$B$129</c:f>
              <c:strCache>
                <c:ptCount val="3"/>
                <c:pt idx="0">
                  <c:v>Grants &amp; Scholarships</c:v>
                </c:pt>
                <c:pt idx="1">
                  <c:v>Loans</c:v>
                </c:pt>
                <c:pt idx="2">
                  <c:v>Work-Study</c:v>
                </c:pt>
              </c:strCache>
            </c:strRef>
          </c:cat>
          <c:val>
            <c:numRef>
              <c:f>'SOURCE DATA'!$C$127:$C$129</c:f>
              <c:numCache>
                <c:formatCode>0%</c:formatCode>
                <c:ptCount val="3"/>
                <c:pt idx="0">
                  <c:v>0.37970951277975235</c:v>
                </c:pt>
                <c:pt idx="1">
                  <c:v>0.62028305131487949</c:v>
                </c:pt>
                <c:pt idx="2" formatCode="0.0%">
                  <c:v>7.4359053681968753E-6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DATA'!$C$137</c:f>
          <c:strCache>
            <c:ptCount val="1"/>
            <c:pt idx="0">
              <c:v>Percent of All Undergraduate Students Receiving
Need-Based Aid 2013-2014</c:v>
            </c:pt>
          </c:strCache>
        </c:strRef>
      </c:tx>
      <c:layout>
        <c:manualLayout>
          <c:xMode val="edge"/>
          <c:yMode val="edge"/>
          <c:x val="0.11393805309734507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85840707964601"/>
          <c:y val="0.22205663189269753"/>
          <c:w val="0.57522123893805333"/>
          <c:h val="0.77496274217585692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'SOURCE DATA'!$B$140:$B$141</c:f>
              <c:strCache>
                <c:ptCount val="2"/>
                <c:pt idx="0">
                  <c:v>Undergrads Receiving Need-Based Aid</c:v>
                </c:pt>
                <c:pt idx="1">
                  <c:v>Undergrads Not Eligible for Need-Based Aid</c:v>
                </c:pt>
              </c:strCache>
            </c:strRef>
          </c:cat>
          <c:val>
            <c:numRef>
              <c:f>'SOURCE DATA'!$C$140:$C$141</c:f>
              <c:numCache>
                <c:formatCode>_(* #,##0_);_(* \(#,##0\);_(* "-"??_);_(@_)</c:formatCode>
                <c:ptCount val="2"/>
                <c:pt idx="0">
                  <c:v>7932</c:v>
                </c:pt>
                <c:pt idx="1">
                  <c:v>10438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DATA'!$C$145</c:f>
          <c:strCache>
            <c:ptCount val="1"/>
            <c:pt idx="0">
              <c:v>Typical Financial Aid Package for
Aid-Eligible Freshmen Applying by March 1st
2013-2014</c:v>
            </c:pt>
          </c:strCache>
        </c:strRef>
      </c:tx>
      <c:layout>
        <c:manualLayout>
          <c:xMode val="edge"/>
          <c:yMode val="edge"/>
          <c:x val="0.14048672566371675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2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11504424778761"/>
          <c:y val="0.20417287630402378"/>
          <c:w val="0.59070796460176966"/>
          <c:h val="0.79582712369597641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'SOURCE DATA'!$B$146:$B$148</c:f>
              <c:strCache>
                <c:ptCount val="3"/>
                <c:pt idx="0">
                  <c:v>Loans</c:v>
                </c:pt>
                <c:pt idx="1">
                  <c:v>Grants &amp; Scholarships</c:v>
                </c:pt>
                <c:pt idx="2">
                  <c:v>Work-Study</c:v>
                </c:pt>
              </c:strCache>
            </c:strRef>
          </c:cat>
          <c:val>
            <c:numRef>
              <c:f>'SOURCE DATA'!$C$146:$C$148</c:f>
              <c:numCache>
                <c:formatCode>0%</c:formatCode>
                <c:ptCount val="3"/>
                <c:pt idx="0">
                  <c:v>0.3</c:v>
                </c:pt>
                <c:pt idx="1">
                  <c:v>0.65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2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DATA'!$C$152</c:f>
          <c:strCache>
            <c:ptCount val="1"/>
            <c:pt idx="0">
              <c:v>Need-Based Aid Distributed to All Students, by Source
2013-2014, In Millions</c:v>
            </c:pt>
          </c:strCache>
        </c:strRef>
      </c:tx>
      <c:layout>
        <c:manualLayout>
          <c:xMode val="edge"/>
          <c:yMode val="edge"/>
          <c:x val="0.10066371681415934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9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8.9418777943368111E-2"/>
          <c:w val="0.86836283185840712"/>
          <c:h val="0.865871833084948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738054864556116E-3"/>
                  <c:y val="0.232186060117110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2.9503288833081912E-3"/>
                  <c:y val="4.76175723936147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9476109729112232E-3"/>
                  <c:y val="0.21829458643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DATA'!$C$153:$C$155</c:f>
              <c:numCache>
                <c:formatCode>"$"#,##0.0</c:formatCode>
                <c:ptCount val="3"/>
                <c:pt idx="0">
                  <c:v>183.786089</c:v>
                </c:pt>
                <c:pt idx="1">
                  <c:v>18.727252</c:v>
                </c:pt>
                <c:pt idx="2">
                  <c:v>124.788652</c:v>
                </c:pt>
              </c:numCache>
            </c:numRef>
          </c:cat>
          <c:val>
            <c:numRef>
              <c:f>'SOURCE DATA'!$D$153:$D$155</c:f>
              <c:numCache>
                <c:formatCode>0%</c:formatCode>
                <c:ptCount val="3"/>
                <c:pt idx="0">
                  <c:v>0.56151839258736203</c:v>
                </c:pt>
                <c:pt idx="1">
                  <c:v>5.7217042366130656E-2</c:v>
                </c:pt>
                <c:pt idx="2">
                  <c:v>0.38126456504650735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84416"/>
        <c:axId val="75178752"/>
        <c:axId val="0"/>
      </c:bar3DChart>
      <c:catAx>
        <c:axId val="39484416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178752"/>
        <c:crosses val="autoZero"/>
        <c:auto val="1"/>
        <c:lblAlgn val="ctr"/>
        <c:lblOffset val="100"/>
        <c:noMultiLvlLbl val="0"/>
      </c:catAx>
      <c:valAx>
        <c:axId val="751787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8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DATA'!$C$159</c:f>
          <c:strCache>
            <c:ptCount val="1"/>
            <c:pt idx="0">
              <c:v>Need-Based Aid Distributed to Undergraduates, by Source
2013-2014, In Millions</c:v>
            </c:pt>
          </c:strCache>
        </c:strRef>
      </c:tx>
      <c:layout>
        <c:manualLayout>
          <c:xMode val="edge"/>
          <c:yMode val="edge"/>
          <c:x val="0.11393805309734507"/>
          <c:y val="1.19225037257824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738054864556116E-3"/>
                  <c:y val="0.200434120272035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9.5232484911070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0.214325593954255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DATA'!$C$160:$C$162</c:f>
              <c:numCache>
                <c:formatCode>"$"#,##0.0</c:formatCode>
                <c:ptCount val="3"/>
                <c:pt idx="0">
                  <c:v>56.481701999999999</c:v>
                </c:pt>
                <c:pt idx="1">
                  <c:v>13.463108999999999</c:v>
                </c:pt>
                <c:pt idx="2">
                  <c:v>87.380994999999999</c:v>
                </c:pt>
              </c:numCache>
            </c:numRef>
          </c:cat>
          <c:val>
            <c:numRef>
              <c:f>'SOURCE DATA'!$D$160:$D$162</c:f>
              <c:numCache>
                <c:formatCode>0%</c:formatCode>
                <c:ptCount val="3"/>
                <c:pt idx="0">
                  <c:v>0.35901104488859253</c:v>
                </c:pt>
                <c:pt idx="1">
                  <c:v>8.5574702220181223E-2</c:v>
                </c:pt>
                <c:pt idx="2">
                  <c:v>0.55541425289122626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229824"/>
        <c:axId val="75497856"/>
        <c:axId val="0"/>
      </c:bar3DChart>
      <c:catAx>
        <c:axId val="75229824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497856"/>
        <c:crosses val="autoZero"/>
        <c:auto val="1"/>
        <c:lblAlgn val="ctr"/>
        <c:lblOffset val="100"/>
        <c:noMultiLvlLbl val="0"/>
      </c:catAx>
      <c:valAx>
        <c:axId val="75497856"/>
        <c:scaling>
          <c:orientation val="minMax"/>
          <c:max val="0.70000000000000018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2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DATA'!$C$166</c:f>
          <c:strCache>
            <c:ptCount val="1"/>
            <c:pt idx="0">
              <c:v>Need-Based Aid Distributed to Graduate/Professional Students, by Source
2013-2014, In Millions</c:v>
            </c:pt>
          </c:strCache>
        </c:strRef>
      </c:tx>
      <c:layout>
        <c:manualLayout>
          <c:xMode val="edge"/>
          <c:yMode val="edge"/>
          <c:x val="0.18030973451327442"/>
          <c:y val="1.49031296572280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476109729112232E-3"/>
                  <c:y val="0.220279082675207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0316638405189281E-2"/>
                  <c:y val="-9.922481201585909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4738054864556116E-3"/>
                  <c:y val="0.168682180426960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DATA'!$C$167:$C$169</c:f>
              <c:numCache>
                <c:formatCode>"$"#,##0.0</c:formatCode>
                <c:ptCount val="3"/>
                <c:pt idx="0">
                  <c:v>127.30438700000001</c:v>
                </c:pt>
                <c:pt idx="1">
                  <c:v>5.2641429999999998</c:v>
                </c:pt>
                <c:pt idx="2">
                  <c:v>37.407657</c:v>
                </c:pt>
              </c:numCache>
            </c:numRef>
          </c:cat>
          <c:val>
            <c:numRef>
              <c:f>'SOURCE DATA'!$D$167:$D$169</c:f>
              <c:numCache>
                <c:formatCode>0%</c:formatCode>
                <c:ptCount val="3"/>
                <c:pt idx="0">
                  <c:v>0.74895424616155204</c:v>
                </c:pt>
                <c:pt idx="1">
                  <c:v>3.0969885211038415E-2</c:v>
                </c:pt>
                <c:pt idx="2">
                  <c:v>0.22007586862740955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565312"/>
        <c:axId val="75575296"/>
        <c:axId val="0"/>
      </c:bar3DChart>
      <c:catAx>
        <c:axId val="7556531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575296"/>
        <c:crosses val="autoZero"/>
        <c:auto val="1"/>
        <c:lblAlgn val="ctr"/>
        <c:lblOffset val="100"/>
        <c:noMultiLvlLbl val="0"/>
      </c:catAx>
      <c:valAx>
        <c:axId val="755752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6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DATA'!$C$173</c:f>
          <c:strCache>
            <c:ptCount val="1"/>
            <c:pt idx="0">
              <c:v>Gift Aid Distributed to All Students, by Source
2013-2014, In Millions</c:v>
            </c:pt>
          </c:strCache>
        </c:strRef>
      </c:tx>
      <c:layout>
        <c:manualLayout>
          <c:xMode val="edge"/>
          <c:yMode val="edge"/>
          <c:x val="0.14269911504424779"/>
          <c:y val="8.941877794336807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543981420927035E-3"/>
                  <c:y val="5.16045702930948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2.9531192321890537E-3"/>
                  <c:y val="5.16058219995227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0.2839716375489280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DATA'!$C$174:$C$176</c:f>
              <c:numCache>
                <c:formatCode>"$"#,##0.0</c:formatCode>
                <c:ptCount val="3"/>
                <c:pt idx="0">
                  <c:v>17.919343000000001</c:v>
                </c:pt>
                <c:pt idx="1">
                  <c:v>17.463925</c:v>
                </c:pt>
                <c:pt idx="2">
                  <c:v>191.837309</c:v>
                </c:pt>
              </c:numCache>
            </c:numRef>
          </c:cat>
          <c:val>
            <c:numRef>
              <c:f>'SOURCE DATA'!$D$174:$D$176</c:f>
              <c:numCache>
                <c:formatCode>0%</c:formatCode>
                <c:ptCount val="3"/>
                <c:pt idx="0">
                  <c:v>7.8863205245711526E-2</c:v>
                </c:pt>
                <c:pt idx="1">
                  <c:v>7.6858906136832841E-2</c:v>
                </c:pt>
                <c:pt idx="2">
                  <c:v>0.84427788861745567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629312"/>
        <c:axId val="75632000"/>
        <c:axId val="0"/>
      </c:bar3DChart>
      <c:catAx>
        <c:axId val="7562931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632000"/>
        <c:crosses val="autoZero"/>
        <c:auto val="1"/>
        <c:lblAlgn val="ctr"/>
        <c:lblOffset val="100"/>
        <c:noMultiLvlLbl val="0"/>
      </c:catAx>
      <c:valAx>
        <c:axId val="756320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2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DATA'!$C$180</c:f>
          <c:strCache>
            <c:ptCount val="1"/>
            <c:pt idx="0">
              <c:v>Gift Aid Distributed to Undergraduates, by Source
2013-2014, In Millions</c:v>
            </c:pt>
          </c:strCache>
        </c:strRef>
      </c:tx>
      <c:layout>
        <c:manualLayout>
          <c:xMode val="edge"/>
          <c:yMode val="edge"/>
          <c:x val="0.11504424778761069"/>
          <c:y val="8.941877794336807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432469197164308E-3"/>
                  <c:y val="0.1071473219349816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5.4139893828124887E-17"/>
                  <c:y val="0.101180906783075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4738054864556116E-3"/>
                  <c:y val="0.285767458605674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DATA'!$C$181:$C$183</c:f>
              <c:numCache>
                <c:formatCode>"$"#,##0.0</c:formatCode>
                <c:ptCount val="3"/>
                <c:pt idx="0">
                  <c:v>17.506086</c:v>
                </c:pt>
                <c:pt idx="1">
                  <c:v>14.155215</c:v>
                </c:pt>
                <c:pt idx="2">
                  <c:v>107.983954</c:v>
                </c:pt>
              </c:numCache>
            </c:numRef>
          </c:cat>
          <c:val>
            <c:numRef>
              <c:f>'SOURCE DATA'!$D$181:$D$183</c:f>
              <c:numCache>
                <c:formatCode>0%</c:formatCode>
                <c:ptCount val="3"/>
                <c:pt idx="0">
                  <c:v>0.12536112308291464</c:v>
                </c:pt>
                <c:pt idx="1">
                  <c:v>0.10136552795868359</c:v>
                </c:pt>
                <c:pt idx="2">
                  <c:v>0.77327334895840172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727232"/>
        <c:axId val="75729920"/>
        <c:axId val="0"/>
      </c:bar3DChart>
      <c:catAx>
        <c:axId val="7572723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729920"/>
        <c:crosses val="autoZero"/>
        <c:auto val="1"/>
        <c:lblAlgn val="ctr"/>
        <c:lblOffset val="100"/>
        <c:noMultiLvlLbl val="0"/>
      </c:catAx>
      <c:valAx>
        <c:axId val="7572992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2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DATA'!$C$187</c:f>
          <c:strCache>
            <c:ptCount val="1"/>
            <c:pt idx="0">
              <c:v>Gift Aid Distributed to Graduate/Professional Students, by Source
2013-2014, In Millions</c:v>
            </c:pt>
          </c:strCache>
        </c:strRef>
      </c:tx>
      <c:layout>
        <c:manualLayout>
          <c:xMode val="edge"/>
          <c:yMode val="edge"/>
          <c:x val="0.11167173870708021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4738054864556116E-3"/>
                  <c:y val="0.26393799996218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DATA'!$C$188:$C$190</c:f>
              <c:numCache>
                <c:formatCode>"$"#,##0.0</c:formatCode>
                <c:ptCount val="3"/>
                <c:pt idx="0">
                  <c:v>0.41325699999999999</c:v>
                </c:pt>
                <c:pt idx="1">
                  <c:v>3.30871</c:v>
                </c:pt>
                <c:pt idx="2">
                  <c:v>83.853354999999993</c:v>
                </c:pt>
              </c:numCache>
            </c:numRef>
          </c:cat>
          <c:val>
            <c:numRef>
              <c:f>'SOURCE DATA'!$D$188:$D$190</c:f>
              <c:numCache>
                <c:formatCode>0%</c:formatCode>
                <c:ptCount val="3"/>
                <c:pt idx="0">
                  <c:v>4.7188750273735791E-3</c:v>
                </c:pt>
                <c:pt idx="1">
                  <c:v>3.7781305560029801E-2</c:v>
                </c:pt>
                <c:pt idx="2">
                  <c:v>0.95749981941259665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444224"/>
        <c:axId val="75446912"/>
        <c:axId val="0"/>
      </c:bar3DChart>
      <c:catAx>
        <c:axId val="75444224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446912"/>
        <c:crosses val="autoZero"/>
        <c:auto val="1"/>
        <c:lblAlgn val="ctr"/>
        <c:lblOffset val="100"/>
        <c:noMultiLvlLbl val="0"/>
      </c:catAx>
      <c:valAx>
        <c:axId val="754469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4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DATA'!$C$194</c:f>
          <c:strCache>
            <c:ptCount val="1"/>
            <c:pt idx="0">
              <c:v>Total Aid Distributed to All Students, by Type
2013-2014, In Millions</c:v>
            </c:pt>
          </c:strCache>
        </c:strRef>
      </c:tx>
      <c:layout>
        <c:manualLayout>
          <c:xMode val="edge"/>
          <c:yMode val="edge"/>
          <c:x val="0.1835947345920019"/>
          <c:y val="1.04243868648850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738054864556116E-3"/>
                  <c:y val="0.234170556357427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1.4738054864556116E-3"/>
                  <c:y val="0.26393799996218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DATA'!$C$195:$C$197</c:f>
              <c:numCache>
                <c:formatCode>"$"#,##0.0</c:formatCode>
                <c:ptCount val="3"/>
                <c:pt idx="0">
                  <c:v>227.22057799999999</c:v>
                </c:pt>
                <c:pt idx="1">
                  <c:v>196.60088099999999</c:v>
                </c:pt>
                <c:pt idx="2">
                  <c:v>3.3304819999999999</c:v>
                </c:pt>
              </c:numCache>
            </c:numRef>
          </c:cat>
          <c:val>
            <c:numRef>
              <c:f>'SOURCE DATA'!$D$195:$D$197</c:f>
              <c:numCache>
                <c:formatCode>0%</c:formatCode>
                <c:ptCount val="3"/>
                <c:pt idx="0">
                  <c:v>0.53194321783498577</c:v>
                </c:pt>
                <c:pt idx="1">
                  <c:v>0.46025983292909817</c:v>
                </c:pt>
                <c:pt idx="2">
                  <c:v>7.7969492359160324E-3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794688"/>
        <c:axId val="75800576"/>
        <c:axId val="0"/>
      </c:bar3DChart>
      <c:catAx>
        <c:axId val="7579468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800576"/>
        <c:crosses val="autoZero"/>
        <c:auto val="1"/>
        <c:lblAlgn val="ctr"/>
        <c:lblOffset val="100"/>
        <c:noMultiLvlLbl val="0"/>
      </c:catAx>
      <c:valAx>
        <c:axId val="758005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9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DATA'!$C$76</c:f>
          <c:strCache>
            <c:ptCount val="1"/>
            <c:pt idx="0">
              <c:v>Total Population of Graduate &amp; Professional Students = 10,757</c:v>
            </c:pt>
          </c:strCache>
        </c:strRef>
      </c:tx>
      <c:layout>
        <c:manualLayout>
          <c:xMode val="edge"/>
          <c:yMode val="edge"/>
          <c:x val="0.12622623681473777"/>
          <c:y val="9.741697416974169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94077448747184E-2"/>
          <c:y val="0.20382165605095537"/>
          <c:w val="0.78815489749430545"/>
          <c:h val="0.73460721868365209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6083036119390985E-2"/>
                  <c:y val="-2.33774574273659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9392080545740435E-2"/>
                  <c:y val="0.106273136682209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'SOURCE DATA'!$B$79:$B$80</c:f>
              <c:strCache>
                <c:ptCount val="2"/>
                <c:pt idx="0">
                  <c:v>Receiving Aid</c:v>
                </c:pt>
                <c:pt idx="1">
                  <c:v>Not Receiving Aid</c:v>
                </c:pt>
              </c:strCache>
            </c:strRef>
          </c:cat>
          <c:val>
            <c:numRef>
              <c:f>'SOURCE DATA'!$C$79:$C$80</c:f>
              <c:numCache>
                <c:formatCode>_(* #,##0_);_(* \(#,##0\);_(* "-"??_);_(@_)</c:formatCode>
                <c:ptCount val="2"/>
                <c:pt idx="0">
                  <c:v>8896</c:v>
                </c:pt>
                <c:pt idx="1">
                  <c:v>1861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DATA'!$C$201</c:f>
          <c:strCache>
            <c:ptCount val="1"/>
            <c:pt idx="0">
              <c:v>Total Aid Distributed to Undergraduate Students, by Type
2013-2014, In Millions</c:v>
            </c:pt>
          </c:strCache>
        </c:strRef>
      </c:tx>
      <c:layout>
        <c:manualLayout>
          <c:xMode val="edge"/>
          <c:yMode val="edge"/>
          <c:x val="0.14379525569248666"/>
          <c:y val="1.93739961300760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730253353204174"/>
          <c:w val="0.88163716814159288"/>
          <c:h val="0.8524590163934431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214325593954255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1.4738054864556116E-3"/>
                  <c:y val="0.168682180426960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DATA'!$C$202:$C$204</c:f>
              <c:numCache>
                <c:formatCode>"$"#,##0.0</c:formatCode>
                <c:ptCount val="3"/>
                <c:pt idx="0">
                  <c:v>139.64525499999999</c:v>
                </c:pt>
                <c:pt idx="1">
                  <c:v>53.540233999999998</c:v>
                </c:pt>
                <c:pt idx="2">
                  <c:v>3.328767</c:v>
                </c:pt>
              </c:numCache>
            </c:numRef>
          </c:cat>
          <c:val>
            <c:numRef>
              <c:f>'SOURCE DATA'!$D$202:$D$204</c:f>
              <c:numCache>
                <c:formatCode>0%</c:formatCode>
                <c:ptCount val="3"/>
                <c:pt idx="0">
                  <c:v>0.71061132073797229</c:v>
                </c:pt>
                <c:pt idx="1">
                  <c:v>0.27244961810811325</c:v>
                </c:pt>
                <c:pt idx="2">
                  <c:v>1.6939061153914452E-2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175232"/>
        <c:axId val="76176768"/>
        <c:axId val="0"/>
      </c:bar3DChart>
      <c:catAx>
        <c:axId val="7617523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6176768"/>
        <c:crosses val="autoZero"/>
        <c:auto val="1"/>
        <c:lblAlgn val="ctr"/>
        <c:lblOffset val="100"/>
        <c:noMultiLvlLbl val="0"/>
      </c:catAx>
      <c:valAx>
        <c:axId val="761767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7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DATA'!$C$208</c:f>
          <c:strCache>
            <c:ptCount val="1"/>
            <c:pt idx="0">
              <c:v>Total Aid Distributed to Graduate/Professional Students, by Type
2013-2014, In Millions</c:v>
            </c:pt>
          </c:strCache>
        </c:strRef>
      </c:tx>
      <c:overlay val="1"/>
      <c:txPr>
        <a:bodyPr/>
        <a:lstStyle/>
        <a:p>
          <a:pPr>
            <a:defRPr sz="1700" b="1"/>
          </a:pPr>
          <a:endParaRPr lang="en-US"/>
        </a:p>
      </c:txPr>
    </c:title>
    <c:autoTitleDeleted val="0"/>
    <c:view3D>
      <c:rotX val="15"/>
      <c:hPercent val="6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730253353204174"/>
          <c:w val="0.88163716814159288"/>
          <c:h val="0.8524590163934431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738054864556116E-3"/>
                  <c:y val="0.2044031127526697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0.252031022520282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7685665837467338E-2"/>
                  <c:y val="-1.9844962403171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DATA'!$C$209:$C$211</c:f>
              <c:numCache>
                <c:formatCode>"$"#,##0.0</c:formatCode>
                <c:ptCount val="3"/>
                <c:pt idx="0">
                  <c:v>87.575322999999997</c:v>
                </c:pt>
                <c:pt idx="1">
                  <c:v>143.06064699999999</c:v>
                </c:pt>
                <c:pt idx="2">
                  <c:v>1.7149999999999999E-3</c:v>
                </c:pt>
              </c:numCache>
            </c:numRef>
          </c:cat>
          <c:val>
            <c:numRef>
              <c:f>'SOURCE DATA'!$D$209:$D$211</c:f>
              <c:numCache>
                <c:formatCode>0%</c:formatCode>
                <c:ptCount val="3"/>
                <c:pt idx="0">
                  <c:v>0.37970951277975235</c:v>
                </c:pt>
                <c:pt idx="1">
                  <c:v>0.62028305131487949</c:v>
                </c:pt>
                <c:pt idx="2" formatCode="0.0%">
                  <c:v>7.4359053681968753E-6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888128"/>
        <c:axId val="75889664"/>
        <c:axId val="0"/>
      </c:bar3DChart>
      <c:catAx>
        <c:axId val="7588812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889664"/>
        <c:crosses val="autoZero"/>
        <c:auto val="1"/>
        <c:lblAlgn val="ctr"/>
        <c:lblOffset val="100"/>
        <c:noMultiLvlLbl val="0"/>
      </c:catAx>
      <c:valAx>
        <c:axId val="758896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8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DATA'!$C$215</c:f>
          <c:strCache>
            <c:ptCount val="1"/>
            <c:pt idx="0">
              <c:v>Need-Based Aid Distributed to All Students, by Type
2013-2014, In Millions</c:v>
            </c:pt>
          </c:strCache>
        </c:strRef>
      </c:tx>
      <c:layout>
        <c:manualLayout>
          <c:xMode val="edge"/>
          <c:yMode val="edge"/>
          <c:x val="0.12610619469026549"/>
          <c:y val="5.961251862891208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738054864556116E-3"/>
                  <c:y val="0.257984511241233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1.4738054864556116E-3"/>
                  <c:y val="0.271875984923453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3264249378100505E-2"/>
                  <c:y val="1.9844962403171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DATA'!$C$216:$C$218</c:f>
              <c:numCache>
                <c:formatCode>"$"#,##0.0</c:formatCode>
                <c:ptCount val="3"/>
                <c:pt idx="0">
                  <c:v>151.79236700000001</c:v>
                </c:pt>
                <c:pt idx="1">
                  <c:v>172.180857</c:v>
                </c:pt>
                <c:pt idx="2">
                  <c:v>3.328767</c:v>
                </c:pt>
              </c:numCache>
            </c:numRef>
          </c:cat>
          <c:val>
            <c:numRef>
              <c:f>'SOURCE DATA'!$D$216:$D$218</c:f>
              <c:numCache>
                <c:formatCode>0%</c:formatCode>
                <c:ptCount val="3"/>
                <c:pt idx="0">
                  <c:v>0.46376854151186631</c:v>
                </c:pt>
                <c:pt idx="1">
                  <c:v>0.52606113538734933</c:v>
                </c:pt>
                <c:pt idx="2">
                  <c:v>1.0170323100784315E-2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938048"/>
        <c:axId val="75943936"/>
        <c:axId val="0"/>
      </c:bar3DChart>
      <c:catAx>
        <c:axId val="7593804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943936"/>
        <c:crosses val="autoZero"/>
        <c:auto val="1"/>
        <c:lblAlgn val="ctr"/>
        <c:lblOffset val="100"/>
        <c:noMultiLvlLbl val="0"/>
      </c:catAx>
      <c:valAx>
        <c:axId val="759439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3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DATA'!$C$222</c:f>
          <c:strCache>
            <c:ptCount val="1"/>
            <c:pt idx="0">
              <c:v>Need-Based Aid Distributed to Undergraduate Students, by Type
2013-2014, In Millions</c:v>
            </c:pt>
          </c:strCache>
        </c:strRef>
      </c:tx>
      <c:layout>
        <c:manualLayout>
          <c:xMode val="edge"/>
          <c:yMode val="edge"/>
          <c:x val="0.16924778761061948"/>
          <c:y val="1.49031296572280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274336283185839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4214164593668346E-3"/>
                  <c:y val="0.287751954845991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4738054864556116E-3"/>
                  <c:y val="0.150821714264105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1.0316638405189281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DATA'!$C$223:$C$225</c:f>
              <c:numCache>
                <c:formatCode>"$"#,##0.0</c:formatCode>
                <c:ptCount val="3"/>
                <c:pt idx="0">
                  <c:v>114.681181</c:v>
                </c:pt>
                <c:pt idx="1">
                  <c:v>39.315857000000001</c:v>
                </c:pt>
                <c:pt idx="2">
                  <c:v>3.328767</c:v>
                </c:pt>
              </c:numCache>
            </c:numRef>
          </c:cat>
          <c:val>
            <c:numRef>
              <c:f>'SOURCE DATA'!$D$223:$D$225</c:f>
              <c:numCache>
                <c:formatCode>0%</c:formatCode>
                <c:ptCount val="3"/>
                <c:pt idx="0">
                  <c:v>0.72894069094386649</c:v>
                </c:pt>
                <c:pt idx="1">
                  <c:v>0.24990087926135193</c:v>
                </c:pt>
                <c:pt idx="2">
                  <c:v>2.1158429794781601E-2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109888"/>
        <c:axId val="75111424"/>
        <c:axId val="0"/>
      </c:bar3DChart>
      <c:catAx>
        <c:axId val="7510988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111424"/>
        <c:crosses val="autoZero"/>
        <c:auto val="1"/>
        <c:lblAlgn val="ctr"/>
        <c:lblOffset val="100"/>
        <c:noMultiLvlLbl val="0"/>
      </c:catAx>
      <c:valAx>
        <c:axId val="751114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0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DATA'!$C$229</c:f>
          <c:strCache>
            <c:ptCount val="1"/>
            <c:pt idx="0">
              <c:v>Need-Based Aid Distributed to Graduate/Professional Students, by Type
2013-2014, In Millions</c:v>
            </c:pt>
          </c:strCache>
        </c:strRef>
      </c:tx>
      <c:layout>
        <c:manualLayout>
          <c:xMode val="edge"/>
          <c:yMode val="edge"/>
          <c:x val="0.15222669959944984"/>
          <c:y val="1.587596992253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50821714264105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4738054864556116E-3"/>
                  <c:y val="0.3016434285282116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3580887783289785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DATA'!$C$230:$C$232</c:f>
              <c:numCache>
                <c:formatCode>"$"#,##0.0</c:formatCode>
                <c:ptCount val="3"/>
                <c:pt idx="0">
                  <c:v>37.111185999999996</c:v>
                </c:pt>
                <c:pt idx="1">
                  <c:v>132.86500000000001</c:v>
                </c:pt>
                <c:pt idx="2">
                  <c:v>0</c:v>
                </c:pt>
              </c:numCache>
            </c:numRef>
          </c:cat>
          <c:val>
            <c:numRef>
              <c:f>'SOURCE DATA'!$D$230:$D$232</c:f>
              <c:numCache>
                <c:formatCode>0%</c:formatCode>
                <c:ptCount val="3"/>
                <c:pt idx="0">
                  <c:v>0.21833167853289753</c:v>
                </c:pt>
                <c:pt idx="1">
                  <c:v>0.78166832146710241</c:v>
                </c:pt>
                <c:pt idx="2" formatCode="0.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5166848"/>
        <c:axId val="75168384"/>
        <c:axId val="0"/>
      </c:bar3DChart>
      <c:catAx>
        <c:axId val="7516684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75168384"/>
        <c:crosses val="autoZero"/>
        <c:auto val="1"/>
        <c:lblAlgn val="ctr"/>
        <c:lblOffset val="100"/>
        <c:noMultiLvlLbl val="0"/>
      </c:catAx>
      <c:valAx>
        <c:axId val="7516838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6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DATA'!$C$77</c:f>
          <c:strCache>
            <c:ptCount val="1"/>
            <c:pt idx="0">
              <c:v>Total Population of Undergraduate Students = 18,370</c:v>
            </c:pt>
          </c:strCache>
        </c:strRef>
      </c:tx>
      <c:layout>
        <c:manualLayout>
          <c:xMode val="edge"/>
          <c:yMode val="edge"/>
          <c:x val="0.12444763271162124"/>
          <c:y val="0.10036900369003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12742980561561E-2"/>
          <c:y val="0.17622080679405519"/>
          <c:w val="0.80561555075593949"/>
          <c:h val="0.79193205944798306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347202295552367E-2"/>
                  <c:y val="0.103321033210332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928374655647383E-2"/>
                  <c:y val="-6.76575514828542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'SOURCE DATA'!$B$82:$B$83</c:f>
              <c:strCache>
                <c:ptCount val="2"/>
                <c:pt idx="0">
                  <c:v>Receiving Aid</c:v>
                </c:pt>
                <c:pt idx="1">
                  <c:v>Not Receiving Aid</c:v>
                </c:pt>
              </c:strCache>
            </c:strRef>
          </c:cat>
          <c:val>
            <c:numRef>
              <c:f>'SOURCE DATA'!$C$82:$C$83</c:f>
              <c:numCache>
                <c:formatCode>_(* #,##0_);_(* \(#,##0\);_(* "-"??_);_(@_)</c:formatCode>
                <c:ptCount val="2"/>
                <c:pt idx="0">
                  <c:v>11887</c:v>
                </c:pt>
                <c:pt idx="1">
                  <c:v>6483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CC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DATA'!$C$90</c:f>
          <c:strCache>
            <c:ptCount val="1"/>
            <c:pt idx="0">
              <c:v>All Students Receiving Any Aid 2013-2014
20,783 Students</c:v>
            </c:pt>
          </c:strCache>
        </c:strRef>
      </c:tx>
      <c:layout>
        <c:manualLayout>
          <c:xMode val="edge"/>
          <c:yMode val="edge"/>
          <c:x val="0.19358407079646026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84070796460178"/>
          <c:y val="0.15946348733233995"/>
          <c:w val="0.61283185840707999"/>
          <c:h val="0.825633383010432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'SOURCE DATA'!$B$92:$B$93</c:f>
              <c:strCache>
                <c:ptCount val="2"/>
                <c:pt idx="0">
                  <c:v>Students Receiving Need-Based Aid</c:v>
                </c:pt>
                <c:pt idx="1">
                  <c:v>Students Receiving Non-Need-Based Aid</c:v>
                </c:pt>
              </c:strCache>
            </c:strRef>
          </c:cat>
          <c:val>
            <c:numRef>
              <c:f>'SOURCE DATA'!$C$92:$C$93</c:f>
              <c:numCache>
                <c:formatCode>_(* #,##0_);_(* \(#,##0\);_(* "-"??_);_(@_)</c:formatCode>
                <c:ptCount val="2"/>
                <c:pt idx="0">
                  <c:v>12918</c:v>
                </c:pt>
                <c:pt idx="1">
                  <c:v>7865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DATA'!$C$97</c:f>
          <c:strCache>
            <c:ptCount val="1"/>
            <c:pt idx="0">
              <c:v>Total Aid Distributed to All Students, by Source
2013-2014, In Millions</c:v>
            </c:pt>
          </c:strCache>
        </c:strRef>
      </c:tx>
      <c:layout>
        <c:manualLayout>
          <c:xMode val="edge"/>
          <c:yMode val="edge"/>
          <c:x val="0.15044247787610632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476109729112232E-3"/>
                  <c:y val="0.21829458643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7.382681815935853E-3"/>
                  <c:y val="4.95528669944572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1.4738054864556116E-3"/>
                  <c:y val="0.238139548838061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DATA'!$C$98:$C$100</c:f>
              <c:numCache>
                <c:formatCode>"$"#,##0.0</c:formatCode>
                <c:ptCount val="3"/>
                <c:pt idx="0">
                  <c:v>200.95062100000001</c:v>
                </c:pt>
                <c:pt idx="1">
                  <c:v>20.363997000000001</c:v>
                </c:pt>
                <c:pt idx="2">
                  <c:v>205.837322</c:v>
                </c:pt>
              </c:numCache>
            </c:numRef>
          </c:cat>
          <c:val>
            <c:numRef>
              <c:f>'SOURCE DATA'!$D$98:$D$100</c:f>
              <c:numCache>
                <c:formatCode>0%</c:formatCode>
                <c:ptCount val="3"/>
                <c:pt idx="0">
                  <c:v>0.4704429552631787</c:v>
                </c:pt>
                <c:pt idx="1">
                  <c:v>4.767389561662766E-2</c:v>
                </c:pt>
                <c:pt idx="2">
                  <c:v>0.48188314912019364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805312"/>
        <c:axId val="39806848"/>
        <c:axId val="0"/>
      </c:bar3DChart>
      <c:catAx>
        <c:axId val="3980531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39806848"/>
        <c:crosses val="autoZero"/>
        <c:auto val="1"/>
        <c:lblAlgn val="ctr"/>
        <c:lblOffset val="100"/>
        <c:noMultiLvlLbl val="0"/>
      </c:catAx>
      <c:valAx>
        <c:axId val="398068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0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DATA'!$C$104</c:f>
          <c:strCache>
            <c:ptCount val="1"/>
            <c:pt idx="0">
              <c:v>Total Aid Distributed to Undergraduate Students, by Source
2013-2014, In Millions</c:v>
            </c:pt>
          </c:strCache>
        </c:strRef>
      </c:tx>
      <c:layout>
        <c:manualLayout>
          <c:xMode val="edge"/>
          <c:yMode val="edge"/>
          <c:x val="0.15044247787610632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4214164593668346E-3"/>
                  <c:y val="0.230201563876793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"/>
                  <c:y val="0.101193736773961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0"/>
                  <c:y val="0.24806203003964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DATA'!$C$105:$C$107</c:f>
              <c:numCache>
                <c:formatCode>"$"#,##0.0</c:formatCode>
                <c:ptCount val="3"/>
                <c:pt idx="0">
                  <c:v>67.859547000000006</c:v>
                </c:pt>
                <c:pt idx="1">
                  <c:v>14.551964999999999</c:v>
                </c:pt>
                <c:pt idx="2">
                  <c:v>114.102744</c:v>
                </c:pt>
              </c:numCache>
            </c:numRef>
          </c:cat>
          <c:val>
            <c:numRef>
              <c:f>'SOURCE DATA'!$D$105:$D$107</c:f>
              <c:numCache>
                <c:formatCode>0%</c:formatCode>
                <c:ptCount val="3"/>
                <c:pt idx="0">
                  <c:v>0.34531615355173012</c:v>
                </c:pt>
                <c:pt idx="1">
                  <c:v>7.4050429196342887E-2</c:v>
                </c:pt>
                <c:pt idx="2">
                  <c:v>0.58063341725192696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618048"/>
        <c:axId val="39619584"/>
        <c:axId val="0"/>
      </c:bar3DChart>
      <c:catAx>
        <c:axId val="3961804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39619584"/>
        <c:crosses val="autoZero"/>
        <c:auto val="1"/>
        <c:lblAlgn val="ctr"/>
        <c:lblOffset val="100"/>
        <c:noMultiLvlLbl val="0"/>
      </c:catAx>
      <c:valAx>
        <c:axId val="396195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1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DATA'!$C$111</c:f>
          <c:strCache>
            <c:ptCount val="1"/>
            <c:pt idx="0">
              <c:v>Total Aid Distributed to Graduate/Professional Students, by Source
2013-2014, In Millions</c:v>
            </c:pt>
          </c:strCache>
        </c:strRef>
      </c:tx>
      <c:layout>
        <c:manualLayout>
          <c:xMode val="edge"/>
          <c:yMode val="edge"/>
          <c:x val="0.15044247787610632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6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476109729112232E-3"/>
                  <c:y val="0.259969007481550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1.1812476928756052E-2"/>
                  <c:y val="3.974167908594138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2.9476109729112232E-3"/>
                  <c:y val="0.226232571396158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numRef>
              <c:f>'SOURCE DATA'!$C$112:$C$114</c:f>
              <c:numCache>
                <c:formatCode>"$"#,##0.0</c:formatCode>
                <c:ptCount val="3"/>
                <c:pt idx="0">
                  <c:v>133.09107399999999</c:v>
                </c:pt>
                <c:pt idx="1">
                  <c:v>5.8120320000000003</c:v>
                </c:pt>
                <c:pt idx="2">
                  <c:v>91.734577999999999</c:v>
                </c:pt>
              </c:numCache>
            </c:numRef>
          </c:cat>
          <c:val>
            <c:numRef>
              <c:f>'SOURCE DATA'!$D$112:$D$114</c:f>
              <c:numCache>
                <c:formatCode>0%</c:formatCode>
                <c:ptCount val="3"/>
                <c:pt idx="0">
                  <c:v>0.57705693055780083</c:v>
                </c:pt>
                <c:pt idx="1">
                  <c:v>2.5199836814178207E-2</c:v>
                </c:pt>
                <c:pt idx="2">
                  <c:v>0.39774323262802103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670912"/>
        <c:axId val="39672448"/>
        <c:axId val="0"/>
      </c:bar3DChart>
      <c:catAx>
        <c:axId val="3967091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39672448"/>
        <c:crosses val="autoZero"/>
        <c:auto val="1"/>
        <c:lblAlgn val="ctr"/>
        <c:lblOffset val="100"/>
        <c:noMultiLvlLbl val="0"/>
      </c:catAx>
      <c:valAx>
        <c:axId val="396724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7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DATA'!$C$118</c:f>
          <c:strCache>
            <c:ptCount val="1"/>
            <c:pt idx="0">
              <c:v>All Students Receiving Need-Based Aid 2013-2014
12,918 Students</c:v>
            </c:pt>
          </c:strCache>
        </c:strRef>
      </c:tx>
      <c:layout>
        <c:manualLayout>
          <c:xMode val="edge"/>
          <c:yMode val="edge"/>
          <c:x val="0.1349557522123894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30973451327442"/>
          <c:y val="0.14456035767511183"/>
          <c:w val="0.63384955752212435"/>
          <c:h val="0.853949329359165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'SOURCE DATA'!$B$120:$B$121</c:f>
              <c:strCache>
                <c:ptCount val="2"/>
                <c:pt idx="0">
                  <c:v>Undergraduate</c:v>
                </c:pt>
                <c:pt idx="1">
                  <c:v>Graduate &amp; Professional</c:v>
                </c:pt>
              </c:strCache>
            </c:strRef>
          </c:cat>
          <c:val>
            <c:numRef>
              <c:f>'SOURCE DATA'!$C$120:$C$121</c:f>
              <c:numCache>
                <c:formatCode>_(* #,##0_);_(* \(#,##0\);_(* "-"??_);_(@_)</c:formatCode>
                <c:ptCount val="2"/>
                <c:pt idx="0">
                  <c:v>7932</c:v>
                </c:pt>
                <c:pt idx="1">
                  <c:v>4986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Undergraduate Students</a:t>
            </a:r>
          </a:p>
        </c:rich>
      </c:tx>
      <c:layout>
        <c:manualLayout>
          <c:xMode val="edge"/>
          <c:yMode val="edge"/>
          <c:x val="0.24240213005312114"/>
          <c:y val="1.2738853503184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59419100113396E-2"/>
          <c:y val="0.15074309978768588"/>
          <c:w val="0.84062390055119074"/>
          <c:h val="0.802547770700636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33259094283593171"/>
                  <c:y val="9.05435519041681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21380846325167038"/>
                  <c:y val="-1.70092133238837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375649591685226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95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'SOURCE DATA'!$B$131:$B$133</c:f>
              <c:strCache>
                <c:ptCount val="3"/>
                <c:pt idx="0">
                  <c:v>Grants &amp; Scholarships</c:v>
                </c:pt>
                <c:pt idx="1">
                  <c:v>Loans</c:v>
                </c:pt>
                <c:pt idx="2">
                  <c:v>Work-Study</c:v>
                </c:pt>
              </c:strCache>
            </c:strRef>
          </c:cat>
          <c:val>
            <c:numRef>
              <c:f>'SOURCE DATA'!$C$131:$C$133</c:f>
              <c:numCache>
                <c:formatCode>0%</c:formatCode>
                <c:ptCount val="3"/>
                <c:pt idx="0">
                  <c:v>0.71061132073797229</c:v>
                </c:pt>
                <c:pt idx="1">
                  <c:v>0.27244961810811325</c:v>
                </c:pt>
                <c:pt idx="2">
                  <c:v>1.6939061153914452E-2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&amp;L&amp;8Chart 5</c:oddFooter>
    </c:headerFooter>
    <c:pageMargins b="0.5" l="0.75000000000000022" r="0.75000000000000022" t="0.5" header="0.3000000000000001" footer="0.3000000000000001"/>
    <c:pageSetup orientation="landscape" horizontalDpi="300" verticalDpi="30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2" right="0.75" top="0.5" bottom="0.89" header="0.3" footer="0.1"/>
  <pageSetup orientation="landscape" r:id="rId1"/>
  <headerFooter alignWithMargins="0">
    <oddFooter>&amp;L&amp;8Chart 1
Office of Institutional Research and Assessment/Office of Scholarships and Student Aid
December 12, 2013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10
Office of Institutional Research and Assessment/Office of Scholarships and Student Aid
December 12, 2013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11
Office of Institutional Research and Assessment/Office of Scholarships and Student Aid
December 12, 2013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12
Office of Institutional Research and Assessment/Office of Scholarships and Student Aid
December 12, 2013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13
Office of Institutional Research and Assessment/Office of Scholarships and Student Aid
December 12, 2013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14
Office of Institutional Research and Assessment/Office of Scholarships and Student Aid
December 12, 2013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15
Office of Institutional Research and Assessment/Office of Scholarships and Student Aid
December 12, 2013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16
Office of Institutional Research and Assessment/Office of Scholarships and Student Aid
December 12, 2013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17
Office of Institutional Research and Assessment/Office of Scholarships and Student Aid
December 12, 2013</oddFoot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18
Office of Institutional Research and Assessment/Office of Scholarships and Student Aid
December 12, 2013</oddFoot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19
Office of Institutional Research and Assessment/Office of Scholarships and Student Aid
December 12, 2013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3
Office of Institutional Research and Assessment/Office of Scholarships and Student Aid
December 12, 2013</oddFoot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20
Office of Institutional Research and Assessment/Office of Scholarships and Student Aid
December 12, 2013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4
Office of Institutional Research and Assessment/Office of Scholarships and Student Aid
December 12, 2013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4a
Office of Institutional Research and Assessment/Office of Scholarships and Student Aid
December 12, 2013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4b
Office of Institutional Research and Assessment/Office of Scholarships and Student Aid
December 12, 2013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5
Office of Institutional Research and Assessment/Office of Scholarships and Student Aid
December 12, 2013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7
Office of Institutional Research and Assessment/Office of Scholarships and Student Aid
December 12, 2013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8
Office of Institutional Research and Assessment/Office of Scholarships and Student Aid
December 12, 2013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r:id="rId1"/>
  <headerFooter alignWithMargins="0">
    <oddFooter>&amp;L&amp;8Chart 9
Office of Institutional Research and Assessment/Office of Scholarships and Student Aid
December 12, 2013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142875</xdr:rowOff>
    </xdr:from>
    <xdr:to>
      <xdr:col>15</xdr:col>
      <xdr:colOff>9525</xdr:colOff>
      <xdr:row>30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0.18998</cdr:x>
      <cdr:y>0.10698</cdr:y>
    </cdr:from>
    <cdr:to>
      <cdr:x>0.75648</cdr:x>
      <cdr:y>0.21395</cdr:y>
    </cdr:to>
    <cdr:sp macro="" textlink="'SOURCE DATA'!$C$138">
      <cdr:nvSpPr>
        <cdr:cNvPr id="2" name="TextBox 1"/>
        <cdr:cNvSpPr txBox="1"/>
      </cdr:nvSpPr>
      <cdr:spPr>
        <a:xfrm xmlns:a="http://schemas.openxmlformats.org/drawingml/2006/main">
          <a:off x="1637109" y="684610"/>
          <a:ext cx="4881563" cy="684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DB71E8F-8128-4E6D-BADF-CCB30C5FAB3F}" type="TxLink">
            <a:rPr lang="en-US" sz="1500" b="1">
              <a:latin typeface="Arial" pitchFamily="34" charset="0"/>
              <a:cs typeface="Arial" pitchFamily="34" charset="0"/>
            </a:rPr>
            <a:pPr algn="ctr"/>
            <a:t>(includes resident and non-resident students)
Total Undergraduate Enrollment = 18,370</a:t>
          </a:fld>
          <a:endParaRPr lang="en-US" sz="15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0.171</cdr:x>
      <cdr:y>0.9585</cdr:y>
    </cdr:from>
    <cdr:to>
      <cdr:x>0.27175</cdr:x>
      <cdr:y>0.99425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26037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0.9585</cdr:y>
    </cdr:from>
    <cdr:to>
      <cdr:x>0.499</cdr:x>
      <cdr:y>0.99425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26037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0.9585</cdr:y>
    </cdr:from>
    <cdr:to>
      <cdr:x>0.81675</cdr:x>
      <cdr:y>0.99425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26037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5</xdr:row>
      <xdr:rowOff>0</xdr:rowOff>
    </xdr:from>
    <xdr:to>
      <xdr:col>14</xdr:col>
      <xdr:colOff>552450</xdr:colOff>
      <xdr:row>32</xdr:row>
      <xdr:rowOff>19050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0.171</cdr:x>
      <cdr:y>0.9605</cdr:y>
    </cdr:from>
    <cdr:to>
      <cdr:x>0.27175</cdr:x>
      <cdr:y>0.99625</cdr:y>
    </cdr:to>
    <cdr:sp macro="" textlink="">
      <cdr:nvSpPr>
        <cdr:cNvPr id="296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0.9605</cdr:y>
    </cdr:from>
    <cdr:to>
      <cdr:x>0.499</cdr:x>
      <cdr:y>0.99625</cdr:y>
    </cdr:to>
    <cdr:sp macro="" textlink="">
      <cdr:nvSpPr>
        <cdr:cNvPr id="296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38820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0.9605</cdr:y>
    </cdr:from>
    <cdr:to>
      <cdr:x>0.81675</cdr:x>
      <cdr:y>0.99625</cdr:y>
    </cdr:to>
    <cdr:sp macro="" textlink="">
      <cdr:nvSpPr>
        <cdr:cNvPr id="296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38820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0.171</cdr:x>
      <cdr:y>0.9605</cdr:y>
    </cdr:from>
    <cdr:to>
      <cdr:x>0.27175</cdr:x>
      <cdr:y>0.99625</cdr:y>
    </cdr:to>
    <cdr:sp macro="" textlink="">
      <cdr:nvSpPr>
        <cdr:cNvPr id="297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0.9605</cdr:y>
    </cdr:from>
    <cdr:to>
      <cdr:x>0.499</cdr:x>
      <cdr:y>0.99625</cdr:y>
    </cdr:to>
    <cdr:sp macro="" textlink="">
      <cdr:nvSpPr>
        <cdr:cNvPr id="297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38820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0.9605</cdr:y>
    </cdr:from>
    <cdr:to>
      <cdr:x>0.81675</cdr:x>
      <cdr:y>0.99625</cdr:y>
    </cdr:to>
    <cdr:sp macro="" textlink="">
      <cdr:nvSpPr>
        <cdr:cNvPr id="297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38820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0.16725</cdr:x>
      <cdr:y>0.963</cdr:y>
    </cdr:from>
    <cdr:to>
      <cdr:x>0.268</cdr:x>
      <cdr:y>0.99875</cdr:y>
    </cdr:to>
    <cdr:sp macro="" textlink="">
      <cdr:nvSpPr>
        <cdr:cNvPr id="270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0123" y="6154798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0.963</cdr:y>
    </cdr:from>
    <cdr:to>
      <cdr:x>0.499</cdr:x>
      <cdr:y>0.99875</cdr:y>
    </cdr:to>
    <cdr:sp macro="" textlink="">
      <cdr:nvSpPr>
        <cdr:cNvPr id="2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54798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0.963</cdr:y>
    </cdr:from>
    <cdr:to>
      <cdr:x>0.81675</cdr:x>
      <cdr:y>0.99875</cdr:y>
    </cdr:to>
    <cdr:sp macro="" textlink="">
      <cdr:nvSpPr>
        <cdr:cNvPr id="270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54798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0.171</cdr:x>
      <cdr:y>0.963</cdr:y>
    </cdr:from>
    <cdr:to>
      <cdr:x>0.27175</cdr:x>
      <cdr:y>0.99875</cdr:y>
    </cdr:to>
    <cdr:sp macro="" textlink="">
      <cdr:nvSpPr>
        <cdr:cNvPr id="219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54798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0.426</cdr:x>
      <cdr:y>0.963</cdr:y>
    </cdr:from>
    <cdr:to>
      <cdr:x>0.499</cdr:x>
      <cdr:y>0.99875</cdr:y>
    </cdr:to>
    <cdr:sp macro="" textlink="">
      <cdr:nvSpPr>
        <cdr:cNvPr id="219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54798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0.963</cdr:y>
    </cdr:from>
    <cdr:to>
      <cdr:x>0.81675</cdr:x>
      <cdr:y>0.99875</cdr:y>
    </cdr:to>
    <cdr:sp macro="" textlink="">
      <cdr:nvSpPr>
        <cdr:cNvPr id="219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54798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0.16725</cdr:x>
      <cdr:y>0.9605</cdr:y>
    </cdr:from>
    <cdr:to>
      <cdr:x>0.268</cdr:x>
      <cdr:y>0.99625</cdr:y>
    </cdr:to>
    <cdr:sp macro="" textlink="">
      <cdr:nvSpPr>
        <cdr:cNvPr id="269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0123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0.42255</cdr:x>
      <cdr:y>0.9605</cdr:y>
    </cdr:from>
    <cdr:to>
      <cdr:x>0.49555</cdr:x>
      <cdr:y>0.99625</cdr:y>
    </cdr:to>
    <cdr:sp macro="" textlink="">
      <cdr:nvSpPr>
        <cdr:cNvPr id="269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1139" y="6132530"/>
          <a:ext cx="629052" cy="228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0.59775</cdr:x>
      <cdr:y>0.9605</cdr:y>
    </cdr:from>
    <cdr:to>
      <cdr:x>0.81675</cdr:x>
      <cdr:y>0.99625</cdr:y>
    </cdr:to>
    <cdr:sp macro="" textlink="">
      <cdr:nvSpPr>
        <cdr:cNvPr id="269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38820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0.01059</cdr:y>
    </cdr:from>
    <cdr:to>
      <cdr:x>0.98399</cdr:x>
      <cdr:y>0.10455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90" y="45561"/>
          <a:ext cx="4091733" cy="40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Graduate &amp; Professional Students</a:t>
          </a:r>
        </a:p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1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28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287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287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288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288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289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289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2897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288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288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0.171</cdr:x>
      <cdr:y>0.963</cdr:y>
    </cdr:from>
    <cdr:to>
      <cdr:x>0.27175</cdr:x>
      <cdr:y>0.99875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54798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</cdr:x>
      <cdr:y>0.963</cdr:y>
    </cdr:from>
    <cdr:to>
      <cdr:x>0.499</cdr:x>
      <cdr:y>0.99875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54798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0.59775</cdr:x>
      <cdr:y>0.963</cdr:y>
    </cdr:from>
    <cdr:to>
      <cdr:x>0.81675</cdr:x>
      <cdr:y>0.99875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986" y="6154798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0.1715</cdr:x>
      <cdr:y>0.9605</cdr:y>
    </cdr:from>
    <cdr:to>
      <cdr:x>0.27225</cdr:x>
      <cdr:y>0.99625</cdr:y>
    </cdr:to>
    <cdr:sp macro="" textlink="">
      <cdr:nvSpPr>
        <cdr:cNvPr id="291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718" y="6138820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</cdr:x>
      <cdr:y>0.9605</cdr:y>
    </cdr:from>
    <cdr:to>
      <cdr:x>0.499</cdr:x>
      <cdr:y>0.99625</cdr:y>
    </cdr:to>
    <cdr:sp macro="" textlink="">
      <cdr:nvSpPr>
        <cdr:cNvPr id="291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38820"/>
          <a:ext cx="628573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0.598</cdr:x>
      <cdr:y>0.9605</cdr:y>
    </cdr:from>
    <cdr:to>
      <cdr:x>0.817</cdr:x>
      <cdr:y>0.99625</cdr:y>
    </cdr:to>
    <cdr:sp macro="" textlink="">
      <cdr:nvSpPr>
        <cdr:cNvPr id="2918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9139" y="6138820"/>
          <a:ext cx="1885721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0.01078</cdr:x>
      <cdr:y>0.01059</cdr:y>
    </cdr:from>
    <cdr:to>
      <cdr:x>0.95914</cdr:x>
      <cdr:y>0.10947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12" y="45560"/>
          <a:ext cx="4197394" cy="4253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Undergraduate Students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0.171</cdr:x>
      <cdr:y>0.96475</cdr:y>
    </cdr:from>
    <cdr:to>
      <cdr:x>0.27175</cdr:x>
      <cdr:y>0.9975</cdr:y>
    </cdr:to>
    <cdr:sp macro="" textlink="">
      <cdr:nvSpPr>
        <cdr:cNvPr id="292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13" y="6165983"/>
          <a:ext cx="867518" cy="20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0.426</cdr:x>
      <cdr:y>0.96475</cdr:y>
    </cdr:from>
    <cdr:to>
      <cdr:x>0.499</cdr:x>
      <cdr:y>0.9975</cdr:y>
    </cdr:to>
    <cdr:sp macro="" textlink="">
      <cdr:nvSpPr>
        <cdr:cNvPr id="292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8116" y="6165983"/>
          <a:ext cx="628573" cy="20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0.59575</cdr:x>
      <cdr:y>0.963</cdr:y>
    </cdr:from>
    <cdr:to>
      <cdr:x>0.81475</cdr:x>
      <cdr:y>0.99875</cdr:y>
    </cdr:to>
    <cdr:sp macro="" textlink="">
      <cdr:nvSpPr>
        <cdr:cNvPr id="292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9765" y="6154798"/>
          <a:ext cx="1885721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0.15875</cdr:x>
      <cdr:y>0.964</cdr:y>
    </cdr:from>
    <cdr:to>
      <cdr:x>0.2595</cdr:x>
      <cdr:y>0.99975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6933" y="6161189"/>
          <a:ext cx="86751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0.413</cdr:x>
      <cdr:y>0.964</cdr:y>
    </cdr:from>
    <cdr:to>
      <cdr:x>0.486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178" y="6161189"/>
          <a:ext cx="628574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0.5885</cdr:x>
      <cdr:y>0.964</cdr:y>
    </cdr:from>
    <cdr:to>
      <cdr:x>0.8075</cdr:x>
      <cdr:y>0.99975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338" y="6161189"/>
          <a:ext cx="1885722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showGridLines="0" view="pageLayout" zoomScaleNormal="100" workbookViewId="0">
      <selection activeCell="A4" sqref="A4"/>
    </sheetView>
  </sheetViews>
  <sheetFormatPr defaultRowHeight="12.75" x14ac:dyDescent="0.2"/>
  <cols>
    <col min="7" max="7" width="9" customWidth="1"/>
    <col min="8" max="8" width="2.28515625" customWidth="1"/>
  </cols>
  <sheetData>
    <row r="1" spans="1:15" ht="23.25" x14ac:dyDescent="0.35">
      <c r="A1" s="40" t="str">
        <f>'SOURCE DATA'!C73</f>
        <v>Percentages of Enrolled Students Receiving Any Aid in 2013-2014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 x14ac:dyDescent="0.25">
      <c r="B2" s="1"/>
      <c r="C2" s="2"/>
      <c r="D2" s="2"/>
      <c r="E2" s="3" t="str">
        <f>'SOURCE DATA'!C74</f>
        <v>Total Student Population = 29,127</v>
      </c>
      <c r="F2" s="2"/>
      <c r="G2" s="2"/>
      <c r="H2" s="2"/>
      <c r="I2" s="2"/>
      <c r="J2" s="2"/>
      <c r="K2" s="2"/>
      <c r="L2" s="2"/>
      <c r="M2" s="2"/>
    </row>
    <row r="3" spans="1:15" ht="15.75" x14ac:dyDescent="0.25">
      <c r="B3" s="1"/>
      <c r="C3" s="2"/>
      <c r="D3" s="2"/>
      <c r="E3" s="3" t="str">
        <f>'SOURCE DATA'!C75</f>
        <v>Total Student Population Receiving Aid = 20,783 (71%)</v>
      </c>
      <c r="F3" s="2"/>
      <c r="G3" s="2"/>
      <c r="H3" s="2"/>
      <c r="I3" s="2"/>
      <c r="J3" s="2"/>
      <c r="K3" s="2"/>
      <c r="L3" s="2"/>
      <c r="M3" s="2"/>
    </row>
    <row r="4" spans="1:15" ht="15.75" x14ac:dyDescent="0.25">
      <c r="B4" s="1"/>
      <c r="C4" s="2"/>
      <c r="D4" s="2"/>
      <c r="E4" s="3"/>
      <c r="F4" s="2"/>
      <c r="G4" s="2"/>
      <c r="H4" s="2"/>
      <c r="I4" s="2"/>
      <c r="J4" s="2"/>
      <c r="K4" s="2"/>
      <c r="L4" s="2"/>
      <c r="M4" s="2"/>
    </row>
  </sheetData>
  <mergeCells count="1">
    <mergeCell ref="A1:O1"/>
  </mergeCells>
  <phoneticPr fontId="0" type="noConversion"/>
  <printOptions horizontalCentered="1" verticalCentered="1"/>
  <pageMargins left="0.31" right="0.32" top="0.5" bottom="0.61" header="0.3" footer="0.17"/>
  <pageSetup orientation="landscape" horizontalDpi="4294967293" verticalDpi="300" r:id="rId1"/>
  <headerFooter alignWithMargins="0">
    <oddFooter>&amp;L&amp;8Chart 2
Office of Institutional Research and Assessment/Office of Scholarships and Student Aid
December 12,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showGridLines="0" zoomScaleNormal="100" workbookViewId="0">
      <selection sqref="A1:O1"/>
    </sheetView>
  </sheetViews>
  <sheetFormatPr defaultRowHeight="12.75" x14ac:dyDescent="0.2"/>
  <cols>
    <col min="7" max="7" width="9" customWidth="1"/>
    <col min="8" max="8" width="2.28515625" customWidth="1"/>
  </cols>
  <sheetData>
    <row r="1" spans="1:15" ht="69.75" customHeight="1" x14ac:dyDescent="0.2">
      <c r="A1" s="41" t="str">
        <f>'SOURCE DATA'!C125</f>
        <v>Need-Based Aid Distributed to Students, by Type
2013-2014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 x14ac:dyDescent="0.25">
      <c r="B2" s="1"/>
      <c r="C2" s="2"/>
      <c r="D2" s="2"/>
      <c r="E2" s="3"/>
      <c r="F2" s="2"/>
      <c r="G2" s="2"/>
      <c r="H2" s="2"/>
      <c r="I2" s="2"/>
      <c r="J2" s="2"/>
      <c r="K2" s="2"/>
      <c r="L2" s="2"/>
      <c r="M2" s="2"/>
    </row>
  </sheetData>
  <mergeCells count="1">
    <mergeCell ref="A1:O1"/>
  </mergeCells>
  <phoneticPr fontId="0" type="noConversion"/>
  <printOptions horizontalCentered="1" verticalCentered="1"/>
  <pageMargins left="0.31" right="0.32" top="0.5" bottom="0.62" header="0.51" footer="0.17"/>
  <pageSetup orientation="landscape" horizontalDpi="4294967293" verticalDpi="300" r:id="rId1"/>
  <headerFooter alignWithMargins="0">
    <oddFooter>&amp;L&amp;8Chart 6
Office of Institutional Research and Assessment/Office of Scholarships and Student Aid
December 12, 2013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5"/>
  <sheetViews>
    <sheetView zoomScale="90" zoomScaleNormal="90" workbookViewId="0"/>
  </sheetViews>
  <sheetFormatPr defaultRowHeight="12.75" x14ac:dyDescent="0.2"/>
  <cols>
    <col min="1" max="1" width="8" customWidth="1"/>
    <col min="2" max="2" width="35.5703125" customWidth="1"/>
    <col min="3" max="3" width="12.5703125" customWidth="1"/>
    <col min="4" max="4" width="8.7109375" customWidth="1"/>
    <col min="5" max="5" width="34.7109375" customWidth="1"/>
    <col min="6" max="6" width="6.85546875" customWidth="1"/>
    <col min="7" max="7" width="35.5703125" customWidth="1"/>
    <col min="8" max="8" width="12.42578125" customWidth="1"/>
    <col min="9" max="9" width="8.7109375" customWidth="1"/>
    <col min="10" max="10" width="34.7109375" customWidth="1"/>
    <col min="11" max="11" width="6.140625" customWidth="1"/>
    <col min="12" max="12" width="35.5703125" customWidth="1"/>
    <col min="13" max="13" width="12.5703125" customWidth="1"/>
    <col min="14" max="14" width="8.7109375" customWidth="1"/>
    <col min="15" max="15" width="15.28515625" customWidth="1"/>
    <col min="16" max="16" width="6.140625" customWidth="1"/>
    <col min="19" max="19" width="32" bestFit="1" customWidth="1"/>
  </cols>
  <sheetData>
    <row r="2" spans="2:15" x14ac:dyDescent="0.2">
      <c r="B2" s="4" t="s">
        <v>200</v>
      </c>
      <c r="C2" s="24" t="s">
        <v>239</v>
      </c>
    </row>
    <row r="4" spans="2:15" s="29" customFormat="1" x14ac:dyDescent="0.2">
      <c r="B4" s="29" t="s">
        <v>149</v>
      </c>
      <c r="C4" s="29" t="s">
        <v>150</v>
      </c>
      <c r="D4" s="29" t="s">
        <v>141</v>
      </c>
      <c r="E4" s="29" t="s">
        <v>19</v>
      </c>
      <c r="G4" s="29" t="s">
        <v>151</v>
      </c>
      <c r="H4" s="29" t="s">
        <v>150</v>
      </c>
      <c r="I4" s="29" t="s">
        <v>141</v>
      </c>
      <c r="J4" s="29" t="s">
        <v>19</v>
      </c>
      <c r="L4" s="29" t="s">
        <v>152</v>
      </c>
      <c r="M4" s="29" t="s">
        <v>150</v>
      </c>
      <c r="N4" s="29" t="s">
        <v>141</v>
      </c>
      <c r="O4" s="29" t="s">
        <v>19</v>
      </c>
    </row>
    <row r="5" spans="2:15" x14ac:dyDescent="0.2">
      <c r="B5" s="4" t="s">
        <v>26</v>
      </c>
      <c r="C5" s="27">
        <v>18370</v>
      </c>
      <c r="D5" s="25">
        <f>D6+D7</f>
        <v>1</v>
      </c>
      <c r="E5" s="4" t="s">
        <v>12</v>
      </c>
      <c r="G5" s="4" t="s">
        <v>34</v>
      </c>
      <c r="H5" s="27">
        <v>10757</v>
      </c>
      <c r="I5" s="25">
        <f>I6+I7</f>
        <v>1</v>
      </c>
      <c r="J5" s="4" t="s">
        <v>12</v>
      </c>
      <c r="L5" s="4" t="s">
        <v>13</v>
      </c>
      <c r="M5" s="12">
        <f>C5+H5</f>
        <v>29127</v>
      </c>
      <c r="N5" s="25">
        <f>N6+N7</f>
        <v>1</v>
      </c>
      <c r="O5" s="4" t="s">
        <v>45</v>
      </c>
    </row>
    <row r="6" spans="2:15" x14ac:dyDescent="0.2">
      <c r="B6" s="4" t="s">
        <v>27</v>
      </c>
      <c r="C6" s="27">
        <v>11887</v>
      </c>
      <c r="D6" s="25">
        <f>C6/C5</f>
        <v>0.64708764289602616</v>
      </c>
      <c r="E6" s="4" t="s">
        <v>154</v>
      </c>
      <c r="G6" s="4" t="s">
        <v>17</v>
      </c>
      <c r="H6" s="27">
        <v>8896</v>
      </c>
      <c r="I6" s="25">
        <f>H6/H5</f>
        <v>0.826996374453844</v>
      </c>
      <c r="J6" s="6" t="s">
        <v>155</v>
      </c>
      <c r="L6" s="4" t="s">
        <v>38</v>
      </c>
      <c r="M6" s="12">
        <f>C6+H6</f>
        <v>20783</v>
      </c>
      <c r="N6" s="25">
        <f>M6/M5</f>
        <v>0.71353040134583035</v>
      </c>
      <c r="O6" s="4" t="s">
        <v>45</v>
      </c>
    </row>
    <row r="7" spans="2:15" x14ac:dyDescent="0.2">
      <c r="B7" s="4" t="s">
        <v>28</v>
      </c>
      <c r="C7" s="12">
        <f>C5-C6</f>
        <v>6483</v>
      </c>
      <c r="D7" s="25">
        <f>C7/C5</f>
        <v>0.35291235710397389</v>
      </c>
      <c r="E7" s="4" t="s">
        <v>45</v>
      </c>
      <c r="G7" s="4" t="s">
        <v>18</v>
      </c>
      <c r="H7" s="12">
        <f>H5-H6</f>
        <v>1861</v>
      </c>
      <c r="I7" s="25">
        <f>H7/H5</f>
        <v>0.173003625546156</v>
      </c>
      <c r="J7" s="4" t="s">
        <v>45</v>
      </c>
      <c r="L7" s="4" t="s">
        <v>39</v>
      </c>
      <c r="M7" s="12">
        <f>C7+H7</f>
        <v>8344</v>
      </c>
      <c r="N7" s="25">
        <f>M7/M5</f>
        <v>0.28646959865416965</v>
      </c>
      <c r="O7" s="4" t="s">
        <v>45</v>
      </c>
    </row>
    <row r="8" spans="2:15" x14ac:dyDescent="0.2">
      <c r="D8" s="8"/>
      <c r="I8" s="8"/>
      <c r="M8" s="13"/>
      <c r="N8" s="8"/>
    </row>
    <row r="9" spans="2:15" x14ac:dyDescent="0.2">
      <c r="B9" s="4" t="s">
        <v>27</v>
      </c>
      <c r="C9" s="12">
        <f>C6</f>
        <v>11887</v>
      </c>
      <c r="D9" s="25">
        <f>D10+D11</f>
        <v>1</v>
      </c>
      <c r="E9" s="4" t="s">
        <v>45</v>
      </c>
      <c r="G9" s="4" t="s">
        <v>17</v>
      </c>
      <c r="H9" s="12">
        <f>H6</f>
        <v>8896</v>
      </c>
      <c r="I9" s="25">
        <f>I10+I11</f>
        <v>1</v>
      </c>
      <c r="J9" s="4" t="s">
        <v>45</v>
      </c>
      <c r="L9" s="4" t="s">
        <v>38</v>
      </c>
      <c r="M9" s="12">
        <f>M6</f>
        <v>20783</v>
      </c>
      <c r="N9" s="25">
        <f>N10+N11</f>
        <v>1</v>
      </c>
      <c r="O9" s="4" t="s">
        <v>45</v>
      </c>
    </row>
    <row r="10" spans="2:15" x14ac:dyDescent="0.2">
      <c r="B10" s="4" t="s">
        <v>29</v>
      </c>
      <c r="C10" s="27">
        <v>7932</v>
      </c>
      <c r="D10" s="25">
        <f>C10/C9</f>
        <v>0.66728358711197111</v>
      </c>
      <c r="E10" s="4" t="s">
        <v>186</v>
      </c>
      <c r="G10" s="4" t="s">
        <v>23</v>
      </c>
      <c r="H10" s="27">
        <v>4986</v>
      </c>
      <c r="I10" s="25">
        <f>H10/H9</f>
        <v>0.56047661870503596</v>
      </c>
      <c r="J10" s="4" t="s">
        <v>188</v>
      </c>
      <c r="L10" s="4" t="s">
        <v>40</v>
      </c>
      <c r="M10" s="12">
        <f>C10+H10</f>
        <v>12918</v>
      </c>
      <c r="N10" s="25">
        <f>M10/M9</f>
        <v>0.62156570273781453</v>
      </c>
      <c r="O10" s="4" t="s">
        <v>45</v>
      </c>
    </row>
    <row r="11" spans="2:15" x14ac:dyDescent="0.2">
      <c r="B11" s="4" t="s">
        <v>30</v>
      </c>
      <c r="C11" s="27">
        <v>3955</v>
      </c>
      <c r="D11" s="25">
        <f>C11/C9</f>
        <v>0.33271641288802895</v>
      </c>
      <c r="E11" s="4" t="s">
        <v>187</v>
      </c>
      <c r="G11" s="4" t="s">
        <v>24</v>
      </c>
      <c r="H11" s="27">
        <v>3910</v>
      </c>
      <c r="I11" s="25">
        <f>H11/H9</f>
        <v>0.43952338129496404</v>
      </c>
      <c r="J11" s="4" t="s">
        <v>189</v>
      </c>
      <c r="L11" s="4" t="s">
        <v>41</v>
      </c>
      <c r="M11" s="12">
        <f>C11+H11</f>
        <v>7865</v>
      </c>
      <c r="N11" s="25">
        <f>M11/M9</f>
        <v>0.37843429726218542</v>
      </c>
      <c r="O11" s="4" t="s">
        <v>45</v>
      </c>
    </row>
    <row r="12" spans="2:15" x14ac:dyDescent="0.2">
      <c r="B12" s="4"/>
      <c r="C12" s="11"/>
      <c r="D12" s="8"/>
      <c r="E12" s="4"/>
      <c r="G12" s="4"/>
      <c r="H12" s="11"/>
      <c r="I12" s="8"/>
      <c r="J12" s="4"/>
      <c r="L12" s="4"/>
      <c r="M12" s="11"/>
      <c r="N12" s="8"/>
      <c r="O12" s="4"/>
    </row>
    <row r="13" spans="2:15" x14ac:dyDescent="0.2">
      <c r="B13" s="4" t="s">
        <v>26</v>
      </c>
      <c r="C13" s="12">
        <f>C5</f>
        <v>18370</v>
      </c>
      <c r="D13" s="25">
        <f>D14+D15</f>
        <v>1</v>
      </c>
      <c r="E13" s="4" t="s">
        <v>45</v>
      </c>
      <c r="G13" s="4" t="s">
        <v>34</v>
      </c>
      <c r="H13" s="12">
        <f>H5</f>
        <v>10757</v>
      </c>
      <c r="I13" s="25">
        <f>I14+I15</f>
        <v>1</v>
      </c>
      <c r="J13" s="4" t="s">
        <v>45</v>
      </c>
      <c r="L13" s="4" t="s">
        <v>13</v>
      </c>
      <c r="M13" s="12">
        <f>C13+H13</f>
        <v>29127</v>
      </c>
      <c r="N13" s="25">
        <f>N14+N15</f>
        <v>1</v>
      </c>
      <c r="O13" s="4" t="s">
        <v>45</v>
      </c>
    </row>
    <row r="14" spans="2:15" x14ac:dyDescent="0.2">
      <c r="B14" s="6" t="s">
        <v>29</v>
      </c>
      <c r="C14" s="12">
        <f>C10</f>
        <v>7932</v>
      </c>
      <c r="D14" s="25">
        <f>C14/C13</f>
        <v>0.43179096352749047</v>
      </c>
      <c r="E14" s="4" t="s">
        <v>45</v>
      </c>
      <c r="G14" s="6" t="s">
        <v>23</v>
      </c>
      <c r="H14" s="12">
        <f>H10</f>
        <v>4986</v>
      </c>
      <c r="I14" s="25">
        <f>H14/H13</f>
        <v>0.46351213163521426</v>
      </c>
      <c r="J14" s="4" t="s">
        <v>45</v>
      </c>
      <c r="L14" s="6" t="s">
        <v>40</v>
      </c>
      <c r="M14" s="12">
        <f>C14+H14</f>
        <v>12918</v>
      </c>
      <c r="N14" s="25">
        <f>M14/M13</f>
        <v>0.44350602533731587</v>
      </c>
      <c r="O14" s="4" t="s">
        <v>45</v>
      </c>
    </row>
    <row r="15" spans="2:15" x14ac:dyDescent="0.2">
      <c r="B15" s="6" t="s">
        <v>67</v>
      </c>
      <c r="C15" s="12">
        <f>C13-C14</f>
        <v>10438</v>
      </c>
      <c r="D15" s="25">
        <f>C15/C13</f>
        <v>0.56820903647250953</v>
      </c>
      <c r="E15" s="4" t="s">
        <v>45</v>
      </c>
      <c r="G15" s="6" t="s">
        <v>68</v>
      </c>
      <c r="H15" s="12">
        <f>H13-H14</f>
        <v>5771</v>
      </c>
      <c r="I15" s="25">
        <f>H15/H13</f>
        <v>0.53648786836478568</v>
      </c>
      <c r="J15" s="4" t="s">
        <v>45</v>
      </c>
      <c r="L15" s="6" t="s">
        <v>69</v>
      </c>
      <c r="M15" s="12">
        <f>C15+H15</f>
        <v>16209</v>
      </c>
      <c r="N15" s="25">
        <f>M15/M13</f>
        <v>0.55649397466268413</v>
      </c>
      <c r="O15" s="4" t="s">
        <v>45</v>
      </c>
    </row>
    <row r="16" spans="2:15" x14ac:dyDescent="0.2">
      <c r="D16" s="8"/>
      <c r="I16" s="8"/>
      <c r="M16" s="13"/>
      <c r="N16" s="8"/>
    </row>
    <row r="17" spans="1:15" x14ac:dyDescent="0.2">
      <c r="B17" s="4" t="s">
        <v>203</v>
      </c>
      <c r="C17" s="12">
        <f>C18+C19+C20</f>
        <v>196514256</v>
      </c>
      <c r="D17" s="25">
        <f>D18+D19+D20</f>
        <v>1</v>
      </c>
      <c r="E17" s="7" t="s">
        <v>45</v>
      </c>
      <c r="G17" s="4" t="s">
        <v>205</v>
      </c>
      <c r="H17" s="12">
        <f>H18+H19+H20</f>
        <v>230637684</v>
      </c>
      <c r="I17" s="25">
        <f>I18+I19+I20</f>
        <v>1</v>
      </c>
      <c r="J17" s="7" t="s">
        <v>45</v>
      </c>
      <c r="L17" s="4" t="s">
        <v>207</v>
      </c>
      <c r="M17" s="12">
        <f>H17+C17</f>
        <v>427151940</v>
      </c>
      <c r="N17" s="25">
        <f>N18+N19+N20</f>
        <v>1</v>
      </c>
      <c r="O17" s="4" t="s">
        <v>45</v>
      </c>
    </row>
    <row r="18" spans="1:15" x14ac:dyDescent="0.2">
      <c r="B18" s="4" t="s">
        <v>31</v>
      </c>
      <c r="C18" s="27">
        <v>67859547</v>
      </c>
      <c r="D18" s="25">
        <f>C18/C17</f>
        <v>0.34531615355173012</v>
      </c>
      <c r="E18" s="4" t="s">
        <v>156</v>
      </c>
      <c r="G18" s="4" t="s">
        <v>35</v>
      </c>
      <c r="H18" s="27">
        <v>133091074</v>
      </c>
      <c r="I18" s="25">
        <f>H18/H17</f>
        <v>0.57705693055780083</v>
      </c>
      <c r="J18" s="4" t="s">
        <v>157</v>
      </c>
      <c r="L18" s="4" t="s">
        <v>42</v>
      </c>
      <c r="M18" s="12">
        <f>H18+C18</f>
        <v>200950621</v>
      </c>
      <c r="N18" s="37">
        <f>M18/M17</f>
        <v>0.4704429552631787</v>
      </c>
      <c r="O18" s="4" t="s">
        <v>45</v>
      </c>
    </row>
    <row r="19" spans="1:15" x14ac:dyDescent="0.2">
      <c r="B19" s="4" t="s">
        <v>32</v>
      </c>
      <c r="C19" s="27">
        <v>14551965</v>
      </c>
      <c r="D19" s="25">
        <f>C19/C17</f>
        <v>7.4050429196342887E-2</v>
      </c>
      <c r="E19" s="4" t="s">
        <v>158</v>
      </c>
      <c r="G19" s="4" t="s">
        <v>36</v>
      </c>
      <c r="H19" s="27">
        <v>5812032</v>
      </c>
      <c r="I19" s="25">
        <f>H19/H17</f>
        <v>2.5199836814178207E-2</v>
      </c>
      <c r="J19" s="4" t="s">
        <v>159</v>
      </c>
      <c r="L19" s="4" t="s">
        <v>43</v>
      </c>
      <c r="M19" s="12">
        <f>H19+C19</f>
        <v>20363997</v>
      </c>
      <c r="N19" s="37">
        <f>M19/M17</f>
        <v>4.767389561662766E-2</v>
      </c>
      <c r="O19" s="4" t="s">
        <v>45</v>
      </c>
    </row>
    <row r="20" spans="1:15" x14ac:dyDescent="0.2">
      <c r="B20" s="4" t="s">
        <v>33</v>
      </c>
      <c r="C20" s="27">
        <v>114102744</v>
      </c>
      <c r="D20" s="25">
        <f>C20/C17</f>
        <v>0.58063341725192696</v>
      </c>
      <c r="E20" s="4" t="s">
        <v>160</v>
      </c>
      <c r="G20" s="4" t="s">
        <v>37</v>
      </c>
      <c r="H20" s="27">
        <v>91734578</v>
      </c>
      <c r="I20" s="25">
        <f>H20/H17</f>
        <v>0.39774323262802103</v>
      </c>
      <c r="J20" s="4" t="s">
        <v>161</v>
      </c>
      <c r="L20" s="4" t="s">
        <v>44</v>
      </c>
      <c r="M20" s="12">
        <f>H20+C20</f>
        <v>205837322</v>
      </c>
      <c r="N20" s="37">
        <f>M20/M17</f>
        <v>0.48188314912019364</v>
      </c>
      <c r="O20" s="4" t="s">
        <v>45</v>
      </c>
    </row>
    <row r="21" spans="1:15" x14ac:dyDescent="0.2">
      <c r="D21" s="8"/>
      <c r="I21" s="8"/>
      <c r="M21" s="13"/>
      <c r="N21" s="8"/>
    </row>
    <row r="22" spans="1:15" x14ac:dyDescent="0.2">
      <c r="B22" s="4" t="s">
        <v>204</v>
      </c>
      <c r="C22" s="12">
        <f>C23+C24+C25</f>
        <v>196514256</v>
      </c>
      <c r="D22" s="25">
        <f>D23+D24+D25</f>
        <v>1</v>
      </c>
      <c r="E22" s="7" t="s">
        <v>45</v>
      </c>
      <c r="G22" s="4" t="s">
        <v>206</v>
      </c>
      <c r="H22" s="12">
        <f>H23+H24+H25</f>
        <v>230637685</v>
      </c>
      <c r="I22" s="25">
        <f>I23+I24+I25</f>
        <v>1</v>
      </c>
      <c r="J22" s="7" t="s">
        <v>45</v>
      </c>
      <c r="L22" s="4" t="s">
        <v>208</v>
      </c>
      <c r="M22" s="12">
        <f>H22+C22</f>
        <v>427151941</v>
      </c>
      <c r="N22" s="25">
        <f>N23+N24+N25</f>
        <v>1</v>
      </c>
      <c r="O22" s="4" t="s">
        <v>45</v>
      </c>
    </row>
    <row r="23" spans="1:15" x14ac:dyDescent="0.2">
      <c r="B23" s="6" t="s">
        <v>79</v>
      </c>
      <c r="C23" s="27">
        <v>139645255</v>
      </c>
      <c r="D23" s="25">
        <f>C23/C22</f>
        <v>0.71061132073797229</v>
      </c>
      <c r="E23" s="4" t="s">
        <v>162</v>
      </c>
      <c r="G23" s="6" t="s">
        <v>82</v>
      </c>
      <c r="H23" s="27">
        <v>87575323</v>
      </c>
      <c r="I23" s="25">
        <f>H23/H22</f>
        <v>0.37970951277975235</v>
      </c>
      <c r="J23" s="4" t="s">
        <v>163</v>
      </c>
      <c r="L23" s="6" t="s">
        <v>85</v>
      </c>
      <c r="M23" s="12">
        <f>H23+C23</f>
        <v>227220578</v>
      </c>
      <c r="N23" s="25">
        <f>M23/M22</f>
        <v>0.53194321783498577</v>
      </c>
      <c r="O23" s="4" t="s">
        <v>45</v>
      </c>
    </row>
    <row r="24" spans="1:15" x14ac:dyDescent="0.2">
      <c r="B24" s="6" t="s">
        <v>80</v>
      </c>
      <c r="C24" s="27">
        <v>53540234</v>
      </c>
      <c r="D24" s="25">
        <f>C24/C22</f>
        <v>0.27244961810811325</v>
      </c>
      <c r="E24" s="4" t="s">
        <v>164</v>
      </c>
      <c r="G24" s="6" t="s">
        <v>83</v>
      </c>
      <c r="H24" s="27">
        <v>143060647</v>
      </c>
      <c r="I24" s="25">
        <f>H24/H22</f>
        <v>0.62028305131487949</v>
      </c>
      <c r="J24" s="4" t="s">
        <v>165</v>
      </c>
      <c r="L24" s="6" t="s">
        <v>86</v>
      </c>
      <c r="M24" s="12">
        <f>H24+C24</f>
        <v>196600881</v>
      </c>
      <c r="N24" s="25">
        <f>M24/M22</f>
        <v>0.46025983292909817</v>
      </c>
      <c r="O24" s="4" t="s">
        <v>45</v>
      </c>
    </row>
    <row r="25" spans="1:15" x14ac:dyDescent="0.2">
      <c r="B25" s="6" t="s">
        <v>81</v>
      </c>
      <c r="C25" s="27">
        <v>3328767</v>
      </c>
      <c r="D25" s="25">
        <f>C25/C22</f>
        <v>1.6939061153914452E-2</v>
      </c>
      <c r="E25" s="4" t="s">
        <v>166</v>
      </c>
      <c r="G25" s="6" t="s">
        <v>84</v>
      </c>
      <c r="H25" s="27">
        <v>1715</v>
      </c>
      <c r="I25" s="26">
        <f>H25/H22</f>
        <v>7.4359053681968753E-6</v>
      </c>
      <c r="J25" s="4" t="s">
        <v>167</v>
      </c>
      <c r="L25" s="6" t="s">
        <v>87</v>
      </c>
      <c r="M25" s="12">
        <f>H25+C25</f>
        <v>3330482</v>
      </c>
      <c r="N25" s="25">
        <f>M25/M22</f>
        <v>7.7969492359160324E-3</v>
      </c>
      <c r="O25" s="4" t="s">
        <v>45</v>
      </c>
    </row>
    <row r="26" spans="1:15" x14ac:dyDescent="0.2">
      <c r="B26" s="6"/>
      <c r="C26" s="11"/>
      <c r="D26" s="15"/>
      <c r="E26" s="7"/>
      <c r="F26" s="13"/>
      <c r="G26" s="6"/>
      <c r="H26" s="11"/>
      <c r="I26" s="15"/>
      <c r="J26" s="7"/>
      <c r="K26" s="13"/>
      <c r="L26" s="6"/>
      <c r="M26" s="11"/>
      <c r="N26" s="8"/>
      <c r="O26" s="4"/>
    </row>
    <row r="27" spans="1:15" x14ac:dyDescent="0.2">
      <c r="A27" s="13"/>
      <c r="B27" s="6" t="s">
        <v>121</v>
      </c>
      <c r="C27" s="12">
        <f>C28+C29+C30</f>
        <v>139645255</v>
      </c>
      <c r="D27" s="25">
        <f>D28+D29+D30</f>
        <v>1</v>
      </c>
      <c r="E27" s="7" t="s">
        <v>45</v>
      </c>
      <c r="F27" s="13"/>
      <c r="G27" s="6" t="s">
        <v>122</v>
      </c>
      <c r="H27" s="12">
        <f>H28+H29+H30</f>
        <v>87575322</v>
      </c>
      <c r="I27" s="25">
        <f>I28+I29+I30</f>
        <v>1</v>
      </c>
      <c r="J27" s="7" t="s">
        <v>45</v>
      </c>
      <c r="K27" s="13"/>
      <c r="L27" s="6" t="s">
        <v>123</v>
      </c>
      <c r="M27" s="12">
        <f>H27+C27</f>
        <v>227220577</v>
      </c>
      <c r="N27" s="25">
        <f>N28+N29+N30</f>
        <v>1</v>
      </c>
      <c r="O27" s="4" t="s">
        <v>45</v>
      </c>
    </row>
    <row r="28" spans="1:15" x14ac:dyDescent="0.2">
      <c r="A28" s="13"/>
      <c r="B28" s="6" t="s">
        <v>114</v>
      </c>
      <c r="C28" s="27">
        <v>17506086</v>
      </c>
      <c r="D28" s="25">
        <f>C28/C27</f>
        <v>0.12536112308291464</v>
      </c>
      <c r="E28" s="7" t="s">
        <v>168</v>
      </c>
      <c r="F28" s="13"/>
      <c r="G28" s="6" t="s">
        <v>118</v>
      </c>
      <c r="H28" s="27">
        <v>413257</v>
      </c>
      <c r="I28" s="25">
        <f>H28/H27</f>
        <v>4.7188750273735791E-3</v>
      </c>
      <c r="J28" s="7" t="s">
        <v>169</v>
      </c>
      <c r="K28" s="13"/>
      <c r="L28" s="6" t="s">
        <v>3</v>
      </c>
      <c r="M28" s="12">
        <f>H28+C28</f>
        <v>17919343</v>
      </c>
      <c r="N28" s="25">
        <f>M28/M27</f>
        <v>7.8863205245711526E-2</v>
      </c>
      <c r="O28" s="4" t="s">
        <v>45</v>
      </c>
    </row>
    <row r="29" spans="1:15" x14ac:dyDescent="0.2">
      <c r="A29" s="13"/>
      <c r="B29" s="6" t="s">
        <v>115</v>
      </c>
      <c r="C29" s="27">
        <v>14155215</v>
      </c>
      <c r="D29" s="25">
        <f>C29/C27</f>
        <v>0.10136552795868359</v>
      </c>
      <c r="E29" s="7" t="s">
        <v>170</v>
      </c>
      <c r="F29" s="13"/>
      <c r="G29" s="6" t="s">
        <v>119</v>
      </c>
      <c r="H29" s="27">
        <v>3308710</v>
      </c>
      <c r="I29" s="25">
        <f>H29/H27</f>
        <v>3.7781305560029801E-2</v>
      </c>
      <c r="J29" s="7" t="s">
        <v>171</v>
      </c>
      <c r="K29" s="13"/>
      <c r="L29" s="6" t="s">
        <v>4</v>
      </c>
      <c r="M29" s="12">
        <f>H29+C29</f>
        <v>17463925</v>
      </c>
      <c r="N29" s="25">
        <f>M29/M27</f>
        <v>7.6858906136832841E-2</v>
      </c>
      <c r="O29" s="4" t="s">
        <v>45</v>
      </c>
    </row>
    <row r="30" spans="1:15" x14ac:dyDescent="0.2">
      <c r="A30" s="13"/>
      <c r="B30" s="6" t="s">
        <v>116</v>
      </c>
      <c r="C30" s="27">
        <v>107983954</v>
      </c>
      <c r="D30" s="25">
        <f>C30/C27</f>
        <v>0.77327334895840172</v>
      </c>
      <c r="E30" s="7" t="s">
        <v>172</v>
      </c>
      <c r="F30" s="13"/>
      <c r="G30" s="6" t="s">
        <v>120</v>
      </c>
      <c r="H30" s="27">
        <v>83853355</v>
      </c>
      <c r="I30" s="25">
        <f>H30/H27</f>
        <v>0.95749981941259665</v>
      </c>
      <c r="J30" s="7" t="s">
        <v>173</v>
      </c>
      <c r="K30" s="13"/>
      <c r="L30" s="6" t="s">
        <v>117</v>
      </c>
      <c r="M30" s="12">
        <f>H30+C30</f>
        <v>191837309</v>
      </c>
      <c r="N30" s="25">
        <f>M30/M27</f>
        <v>0.84427788861745567</v>
      </c>
      <c r="O30" s="4" t="s">
        <v>45</v>
      </c>
    </row>
    <row r="31" spans="1:15" x14ac:dyDescent="0.2">
      <c r="D31" s="8"/>
      <c r="I31" s="8"/>
      <c r="M31" s="13"/>
      <c r="N31" s="8"/>
    </row>
    <row r="32" spans="1:15" x14ac:dyDescent="0.2">
      <c r="B32" s="4" t="s">
        <v>209</v>
      </c>
      <c r="C32" s="12">
        <f>C33+C34+C35</f>
        <v>157325806</v>
      </c>
      <c r="D32" s="25">
        <f>D33+D34+D35</f>
        <v>1</v>
      </c>
      <c r="E32" s="7" t="s">
        <v>45</v>
      </c>
      <c r="G32" s="4" t="s">
        <v>211</v>
      </c>
      <c r="H32" s="12">
        <f>H33+H34+H35</f>
        <v>169976187</v>
      </c>
      <c r="I32" s="25">
        <f>I33+I34+I35</f>
        <v>1</v>
      </c>
      <c r="J32" s="7" t="s">
        <v>45</v>
      </c>
      <c r="L32" s="4" t="s">
        <v>213</v>
      </c>
      <c r="M32" s="12">
        <f>H32+C32</f>
        <v>327301993</v>
      </c>
      <c r="N32" s="25">
        <f>N33+N34+N35</f>
        <v>1</v>
      </c>
      <c r="O32" s="4" t="s">
        <v>45</v>
      </c>
    </row>
    <row r="33" spans="2:15" x14ac:dyDescent="0.2">
      <c r="B33" s="6" t="s">
        <v>57</v>
      </c>
      <c r="C33" s="27">
        <v>56481702</v>
      </c>
      <c r="D33" s="25">
        <f>C33/C32</f>
        <v>0.35901104488859253</v>
      </c>
      <c r="E33" s="4" t="s">
        <v>174</v>
      </c>
      <c r="G33" s="6" t="s">
        <v>60</v>
      </c>
      <c r="H33" s="27">
        <v>127304387</v>
      </c>
      <c r="I33" s="25">
        <f>H33/H32</f>
        <v>0.74895424616155204</v>
      </c>
      <c r="J33" s="4" t="s">
        <v>175</v>
      </c>
      <c r="L33" s="6" t="s">
        <v>63</v>
      </c>
      <c r="M33" s="12">
        <f>H33+C33</f>
        <v>183786089</v>
      </c>
      <c r="N33" s="25">
        <f>M33/M32</f>
        <v>0.56151839258736203</v>
      </c>
      <c r="O33" s="4" t="s">
        <v>45</v>
      </c>
    </row>
    <row r="34" spans="2:15" x14ac:dyDescent="0.2">
      <c r="B34" s="6" t="s">
        <v>58</v>
      </c>
      <c r="C34" s="27">
        <v>13463109</v>
      </c>
      <c r="D34" s="25">
        <f>C34/C32</f>
        <v>8.5574702220181223E-2</v>
      </c>
      <c r="E34" s="4" t="s">
        <v>176</v>
      </c>
      <c r="G34" s="6" t="s">
        <v>61</v>
      </c>
      <c r="H34" s="27">
        <v>5264143</v>
      </c>
      <c r="I34" s="25">
        <f>H34/H32</f>
        <v>3.0969885211038415E-2</v>
      </c>
      <c r="J34" s="4" t="s">
        <v>177</v>
      </c>
      <c r="L34" s="6" t="s">
        <v>64</v>
      </c>
      <c r="M34" s="12">
        <f>H34+C34</f>
        <v>18727252</v>
      </c>
      <c r="N34" s="25">
        <f>M34/M32</f>
        <v>5.7217042366130656E-2</v>
      </c>
      <c r="O34" s="4" t="s">
        <v>45</v>
      </c>
    </row>
    <row r="35" spans="2:15" x14ac:dyDescent="0.2">
      <c r="B35" s="6" t="s">
        <v>59</v>
      </c>
      <c r="C35" s="27">
        <v>87380995</v>
      </c>
      <c r="D35" s="25">
        <f>C35/C32</f>
        <v>0.55541425289122626</v>
      </c>
      <c r="E35" s="4" t="s">
        <v>178</v>
      </c>
      <c r="G35" s="6" t="s">
        <v>62</v>
      </c>
      <c r="H35" s="27">
        <v>37407657</v>
      </c>
      <c r="I35" s="25">
        <f>H35/H32</f>
        <v>0.22007586862740955</v>
      </c>
      <c r="J35" s="4" t="s">
        <v>179</v>
      </c>
      <c r="L35" s="6" t="s">
        <v>65</v>
      </c>
      <c r="M35" s="12">
        <f>H35+C35</f>
        <v>124788652</v>
      </c>
      <c r="N35" s="25">
        <f>M35/M32</f>
        <v>0.38126456504650735</v>
      </c>
      <c r="O35" s="4" t="s">
        <v>45</v>
      </c>
    </row>
    <row r="36" spans="2:15" x14ac:dyDescent="0.2">
      <c r="D36" s="8"/>
      <c r="E36" s="4"/>
      <c r="I36" s="8"/>
      <c r="M36" s="13"/>
      <c r="N36" s="8"/>
    </row>
    <row r="37" spans="2:15" x14ac:dyDescent="0.2">
      <c r="B37" s="4" t="s">
        <v>210</v>
      </c>
      <c r="C37" s="12">
        <f>C38+C39+C40</f>
        <v>157325805</v>
      </c>
      <c r="D37" s="25">
        <f>D38+D39+D40</f>
        <v>1</v>
      </c>
      <c r="E37" s="7" t="s">
        <v>45</v>
      </c>
      <c r="G37" s="4" t="s">
        <v>212</v>
      </c>
      <c r="H37" s="12">
        <f>H38+H39+H40</f>
        <v>169976186</v>
      </c>
      <c r="I37" s="25">
        <f>I38+I39+I40</f>
        <v>1</v>
      </c>
      <c r="J37" s="7" t="s">
        <v>45</v>
      </c>
      <c r="L37" s="4" t="s">
        <v>214</v>
      </c>
      <c r="M37" s="12">
        <f>H37+C37</f>
        <v>327301991</v>
      </c>
      <c r="N37" s="25">
        <f>N38+N39+N40</f>
        <v>1</v>
      </c>
      <c r="O37" s="4" t="s">
        <v>45</v>
      </c>
    </row>
    <row r="38" spans="2:15" x14ac:dyDescent="0.2">
      <c r="B38" s="6" t="s">
        <v>105</v>
      </c>
      <c r="C38" s="27">
        <v>114681181</v>
      </c>
      <c r="D38" s="25">
        <f>C38/C37</f>
        <v>0.72894069094386649</v>
      </c>
      <c r="E38" s="4" t="s">
        <v>180</v>
      </c>
      <c r="G38" s="6" t="s">
        <v>108</v>
      </c>
      <c r="H38" s="27">
        <v>37111186</v>
      </c>
      <c r="I38" s="25">
        <f>H38/H37</f>
        <v>0.21833167853289753</v>
      </c>
      <c r="J38" s="4" t="s">
        <v>181</v>
      </c>
      <c r="L38" s="6" t="s">
        <v>111</v>
      </c>
      <c r="M38" s="12">
        <f>H38+C38</f>
        <v>151792367</v>
      </c>
      <c r="N38" s="25">
        <f>M38/M37</f>
        <v>0.46376854151186631</v>
      </c>
      <c r="O38" s="4" t="s">
        <v>45</v>
      </c>
    </row>
    <row r="39" spans="2:15" x14ac:dyDescent="0.2">
      <c r="B39" s="6" t="s">
        <v>106</v>
      </c>
      <c r="C39" s="27">
        <v>39315857</v>
      </c>
      <c r="D39" s="25">
        <f>C39/C37</f>
        <v>0.24990087926135193</v>
      </c>
      <c r="E39" s="4" t="s">
        <v>182</v>
      </c>
      <c r="G39" s="6" t="s">
        <v>109</v>
      </c>
      <c r="H39" s="27">
        <v>132865000</v>
      </c>
      <c r="I39" s="25">
        <f>H39/H37</f>
        <v>0.78166832146710241</v>
      </c>
      <c r="J39" s="4" t="s">
        <v>183</v>
      </c>
      <c r="L39" s="6" t="s">
        <v>112</v>
      </c>
      <c r="M39" s="12">
        <f>H39+C39</f>
        <v>172180857</v>
      </c>
      <c r="N39" s="25">
        <f>M39/M37</f>
        <v>0.52606113538734933</v>
      </c>
      <c r="O39" s="4" t="s">
        <v>45</v>
      </c>
    </row>
    <row r="40" spans="2:15" x14ac:dyDescent="0.2">
      <c r="B40" s="6" t="s">
        <v>107</v>
      </c>
      <c r="C40" s="27">
        <v>3328767</v>
      </c>
      <c r="D40" s="25">
        <f>C40/C37</f>
        <v>2.1158429794781601E-2</v>
      </c>
      <c r="E40" s="4" t="s">
        <v>184</v>
      </c>
      <c r="G40" s="6" t="s">
        <v>110</v>
      </c>
      <c r="H40" s="27">
        <v>0</v>
      </c>
      <c r="I40" s="26">
        <f>H40/H37</f>
        <v>0</v>
      </c>
      <c r="J40" s="4" t="s">
        <v>185</v>
      </c>
      <c r="L40" s="6" t="s">
        <v>113</v>
      </c>
      <c r="M40" s="12">
        <f>H40+C40</f>
        <v>3328767</v>
      </c>
      <c r="N40" s="25">
        <f>M40/M37</f>
        <v>1.0170323100784315E-2</v>
      </c>
      <c r="O40" s="4" t="s">
        <v>45</v>
      </c>
    </row>
    <row r="41" spans="2:15" x14ac:dyDescent="0.2">
      <c r="E41" s="4"/>
    </row>
    <row r="42" spans="2:15" x14ac:dyDescent="0.2">
      <c r="B42" s="4" t="s">
        <v>10</v>
      </c>
      <c r="E42" s="4"/>
    </row>
    <row r="43" spans="2:15" x14ac:dyDescent="0.2">
      <c r="B43" s="6" t="s">
        <v>215</v>
      </c>
      <c r="E43" s="4"/>
    </row>
    <row r="44" spans="2:15" x14ac:dyDescent="0.2">
      <c r="B44" s="6" t="s">
        <v>9</v>
      </c>
      <c r="C44" s="28">
        <v>0.3</v>
      </c>
      <c r="E44" s="4" t="s">
        <v>124</v>
      </c>
      <c r="L44" s="36">
        <f>M22/M6</f>
        <v>20552.949093008709</v>
      </c>
    </row>
    <row r="45" spans="2:15" x14ac:dyDescent="0.2">
      <c r="B45" s="6" t="s">
        <v>2</v>
      </c>
      <c r="C45" s="28">
        <v>0.65</v>
      </c>
      <c r="E45" s="4" t="s">
        <v>124</v>
      </c>
    </row>
    <row r="46" spans="2:15" x14ac:dyDescent="0.2">
      <c r="B46" s="6" t="s">
        <v>8</v>
      </c>
      <c r="C46" s="28">
        <v>0.05</v>
      </c>
      <c r="E46" s="4" t="s">
        <v>124</v>
      </c>
    </row>
    <row r="47" spans="2:15" x14ac:dyDescent="0.2">
      <c r="C47" s="12">
        <f>C44+C45+C46</f>
        <v>1</v>
      </c>
      <c r="E47" s="4"/>
    </row>
    <row r="48" spans="2:15" x14ac:dyDescent="0.2">
      <c r="G48" s="1"/>
      <c r="H48" s="4"/>
    </row>
    <row r="49" spans="1:10" x14ac:dyDescent="0.2">
      <c r="G49" s="1"/>
      <c r="H49" s="4"/>
    </row>
    <row r="50" spans="1:10" x14ac:dyDescent="0.2">
      <c r="B50" s="1" t="s">
        <v>153</v>
      </c>
      <c r="C50" s="9" t="b">
        <f>C17=C22</f>
        <v>1</v>
      </c>
      <c r="D50" s="38" t="b">
        <f>H17=H22</f>
        <v>0</v>
      </c>
      <c r="E50" s="38" t="b">
        <f>M17=M22</f>
        <v>0</v>
      </c>
      <c r="F50" s="9" t="b">
        <f>C23=C27</f>
        <v>1</v>
      </c>
      <c r="G50" s="39" t="s">
        <v>240</v>
      </c>
    </row>
    <row r="51" spans="1:10" x14ac:dyDescent="0.2">
      <c r="C51" s="38" t="b">
        <f>C32=C37</f>
        <v>0</v>
      </c>
      <c r="D51" s="38" t="b">
        <f>H32=H37</f>
        <v>0</v>
      </c>
      <c r="E51" s="38" t="b">
        <f>M32=M37</f>
        <v>0</v>
      </c>
      <c r="F51" s="38" t="b">
        <f>H23=H27</f>
        <v>0</v>
      </c>
      <c r="G51" s="1"/>
    </row>
    <row r="52" spans="1:10" x14ac:dyDescent="0.2">
      <c r="C52" s="17" t="b">
        <f>1=D5</f>
        <v>1</v>
      </c>
      <c r="D52" s="9" t="b">
        <f>1=I5</f>
        <v>1</v>
      </c>
      <c r="E52" s="9" t="b">
        <f>1=N5</f>
        <v>1</v>
      </c>
      <c r="F52" s="38" t="b">
        <f>M23=M27</f>
        <v>0</v>
      </c>
      <c r="G52" s="1"/>
    </row>
    <row r="53" spans="1:10" x14ac:dyDescent="0.2">
      <c r="C53" s="17" t="b">
        <f>1=D9</f>
        <v>1</v>
      </c>
      <c r="D53" s="9" t="b">
        <f>1=I9</f>
        <v>1</v>
      </c>
      <c r="E53" s="9" t="b">
        <f>1=N9</f>
        <v>1</v>
      </c>
      <c r="G53" s="1"/>
    </row>
    <row r="54" spans="1:10" x14ac:dyDescent="0.2">
      <c r="A54" s="1"/>
      <c r="B54" s="1"/>
      <c r="C54" s="17" t="b">
        <f>1=D13</f>
        <v>1</v>
      </c>
      <c r="D54" s="9" t="b">
        <f>1=I13</f>
        <v>1</v>
      </c>
      <c r="E54" s="9" t="b">
        <f>1=N13</f>
        <v>1</v>
      </c>
    </row>
    <row r="55" spans="1:10" x14ac:dyDescent="0.2">
      <c r="A55" s="1"/>
      <c r="B55" s="1"/>
      <c r="C55" s="17" t="b">
        <f>1=D17</f>
        <v>1</v>
      </c>
      <c r="D55" s="9" t="b">
        <f>1=I17</f>
        <v>1</v>
      </c>
      <c r="E55" s="9" t="b">
        <f>1=N17</f>
        <v>1</v>
      </c>
    </row>
    <row r="56" spans="1:10" x14ac:dyDescent="0.2">
      <c r="A56" s="1"/>
      <c r="B56" s="1"/>
      <c r="C56" s="9" t="b">
        <f>1=D22</f>
        <v>1</v>
      </c>
      <c r="D56" s="9" t="b">
        <f>1=I22</f>
        <v>1</v>
      </c>
      <c r="E56" s="9" t="b">
        <f>1=N22</f>
        <v>1</v>
      </c>
    </row>
    <row r="57" spans="1:10" x14ac:dyDescent="0.2">
      <c r="A57" s="1"/>
      <c r="B57" s="1"/>
      <c r="C57" s="9" t="b">
        <f>1=D27</f>
        <v>1</v>
      </c>
      <c r="D57" s="9" t="b">
        <f>1=I27</f>
        <v>1</v>
      </c>
      <c r="E57" s="9" t="b">
        <f>1=N27</f>
        <v>1</v>
      </c>
    </row>
    <row r="58" spans="1:10" x14ac:dyDescent="0.2">
      <c r="C58" s="9" t="b">
        <f>1=D32</f>
        <v>1</v>
      </c>
      <c r="D58" s="9" t="b">
        <f>1=I32</f>
        <v>1</v>
      </c>
      <c r="E58" s="9" t="b">
        <f>1=N32</f>
        <v>1</v>
      </c>
    </row>
    <row r="59" spans="1:10" x14ac:dyDescent="0.2">
      <c r="C59" s="9" t="b">
        <f>1=D37</f>
        <v>1</v>
      </c>
      <c r="D59" s="9" t="b">
        <f>1=I37</f>
        <v>1</v>
      </c>
      <c r="E59" s="9" t="b">
        <f>1=N37</f>
        <v>1</v>
      </c>
      <c r="I59" s="4"/>
      <c r="J59" s="13"/>
    </row>
    <row r="60" spans="1:10" x14ac:dyDescent="0.2">
      <c r="C60" s="10"/>
      <c r="D60" s="10"/>
      <c r="E60" s="10"/>
      <c r="I60" s="4"/>
    </row>
    <row r="61" spans="1:10" x14ac:dyDescent="0.2">
      <c r="C61" s="10"/>
      <c r="D61" s="10"/>
      <c r="E61" s="10"/>
    </row>
    <row r="62" spans="1:10" x14ac:dyDescent="0.2">
      <c r="C62" s="10"/>
      <c r="D62" s="10"/>
      <c r="E62" s="10"/>
    </row>
    <row r="63" spans="1:10" x14ac:dyDescent="0.2">
      <c r="C63" s="10"/>
      <c r="D63" s="10"/>
      <c r="E63" s="10"/>
    </row>
    <row r="64" spans="1:10" x14ac:dyDescent="0.2">
      <c r="A64" s="1" t="s">
        <v>11</v>
      </c>
    </row>
    <row r="65" spans="1:3" x14ac:dyDescent="0.2">
      <c r="A65" s="1" t="s">
        <v>46</v>
      </c>
    </row>
    <row r="66" spans="1:3" x14ac:dyDescent="0.2">
      <c r="B66" s="4" t="s">
        <v>126</v>
      </c>
      <c r="C66" s="14" t="str">
        <f>CONCATENATE("Total UNC-CH Enrollment ",C2&amp;CHAR(10)&amp;TEXT(C69,"00,000")," ","Students")</f>
        <v>Total UNC-CH Enrollment 2013-2014
29,127 Students</v>
      </c>
    </row>
    <row r="67" spans="1:3" x14ac:dyDescent="0.2">
      <c r="B67" s="4" t="s">
        <v>6</v>
      </c>
      <c r="C67" s="16">
        <f>C5</f>
        <v>18370</v>
      </c>
    </row>
    <row r="68" spans="1:3" x14ac:dyDescent="0.2">
      <c r="B68" s="4" t="s">
        <v>125</v>
      </c>
      <c r="C68" s="16">
        <f>H5</f>
        <v>10757</v>
      </c>
    </row>
    <row r="69" spans="1:3" x14ac:dyDescent="0.2">
      <c r="B69" s="4" t="s">
        <v>5</v>
      </c>
      <c r="C69" s="16">
        <f>M5</f>
        <v>29127</v>
      </c>
    </row>
    <row r="71" spans="1:3" x14ac:dyDescent="0.2">
      <c r="A71" s="1" t="s">
        <v>14</v>
      </c>
    </row>
    <row r="72" spans="1:3" x14ac:dyDescent="0.2">
      <c r="A72" s="1" t="s">
        <v>15</v>
      </c>
    </row>
    <row r="73" spans="1:3" x14ac:dyDescent="0.2">
      <c r="A73" s="1"/>
      <c r="B73" s="4" t="s">
        <v>132</v>
      </c>
      <c r="C73" s="14" t="str">
        <f>CONCATENATE("Percentages of Enrolled Students Receiving Any Aid in ",C2)</f>
        <v>Percentages of Enrolled Students Receiving Any Aid in 2013-2014</v>
      </c>
    </row>
    <row r="74" spans="1:3" x14ac:dyDescent="0.2">
      <c r="A74" s="1"/>
      <c r="B74" s="4" t="s">
        <v>133</v>
      </c>
      <c r="C74" s="14" t="str">
        <f>CONCATENATE("Total Student Population = ",TEXT(C84,"00,000"),)</f>
        <v>Total Student Population = 29,127</v>
      </c>
    </row>
    <row r="75" spans="1:3" x14ac:dyDescent="0.2">
      <c r="A75" s="1"/>
      <c r="B75" s="4" t="s">
        <v>134</v>
      </c>
      <c r="C75" s="14" t="str">
        <f>CONCATENATE("Total Student Population Receiving Aid = ",TEXT(C85,"00,000")," (",TEXT(C86,"0%"),")")</f>
        <v>Total Student Population Receiving Aid = 20,783 (71%)</v>
      </c>
    </row>
    <row r="76" spans="1:3" x14ac:dyDescent="0.2">
      <c r="A76" s="1"/>
      <c r="B76" s="4" t="s">
        <v>135</v>
      </c>
      <c r="C76" s="14" t="str">
        <f>CONCATENATE("Total Population of Graduate &amp; Professional Students = ",TEXT(C78,"00,000"),)</f>
        <v>Total Population of Graduate &amp; Professional Students = 10,757</v>
      </c>
    </row>
    <row r="77" spans="1:3" x14ac:dyDescent="0.2">
      <c r="A77" s="1"/>
      <c r="B77" s="4" t="s">
        <v>136</v>
      </c>
      <c r="C77" s="14" t="str">
        <f>CONCATENATE("Total Population of Undergraduate Students = ",TEXT(C81,"00,000"),)</f>
        <v>Total Population of Undergraduate Students = 18,370</v>
      </c>
    </row>
    <row r="78" spans="1:3" x14ac:dyDescent="0.2">
      <c r="B78" s="4" t="s">
        <v>129</v>
      </c>
      <c r="C78" s="16">
        <f>H5</f>
        <v>10757</v>
      </c>
    </row>
    <row r="79" spans="1:3" x14ac:dyDescent="0.2">
      <c r="B79" s="4" t="s">
        <v>128</v>
      </c>
      <c r="C79" s="16">
        <f>H6</f>
        <v>8896</v>
      </c>
    </row>
    <row r="80" spans="1:3" x14ac:dyDescent="0.2">
      <c r="B80" s="4" t="s">
        <v>7</v>
      </c>
      <c r="C80" s="16">
        <f>H7</f>
        <v>1861</v>
      </c>
    </row>
    <row r="81" spans="1:3" x14ac:dyDescent="0.2">
      <c r="B81" s="4" t="s">
        <v>127</v>
      </c>
      <c r="C81" s="16">
        <f>C5</f>
        <v>18370</v>
      </c>
    </row>
    <row r="82" spans="1:3" x14ac:dyDescent="0.2">
      <c r="B82" s="4" t="s">
        <v>128</v>
      </c>
      <c r="C82" s="16">
        <f>C6</f>
        <v>11887</v>
      </c>
    </row>
    <row r="83" spans="1:3" x14ac:dyDescent="0.2">
      <c r="B83" s="4" t="s">
        <v>7</v>
      </c>
      <c r="C83" s="16">
        <f>C7</f>
        <v>6483</v>
      </c>
    </row>
    <row r="84" spans="1:3" x14ac:dyDescent="0.2">
      <c r="B84" s="4" t="s">
        <v>130</v>
      </c>
      <c r="C84" s="16">
        <f>M5</f>
        <v>29127</v>
      </c>
    </row>
    <row r="85" spans="1:3" x14ac:dyDescent="0.2">
      <c r="B85" s="4" t="s">
        <v>20</v>
      </c>
      <c r="C85" s="16">
        <f>M6</f>
        <v>20783</v>
      </c>
    </row>
    <row r="86" spans="1:3" x14ac:dyDescent="0.2">
      <c r="B86" s="4" t="s">
        <v>131</v>
      </c>
      <c r="C86" s="18">
        <f>N6</f>
        <v>0.71353040134583035</v>
      </c>
    </row>
    <row r="87" spans="1:3" x14ac:dyDescent="0.2">
      <c r="C87" s="15"/>
    </row>
    <row r="88" spans="1:3" x14ac:dyDescent="0.2">
      <c r="A88" s="1" t="s">
        <v>21</v>
      </c>
    </row>
    <row r="89" spans="1:3" x14ac:dyDescent="0.2">
      <c r="A89" s="1" t="s">
        <v>22</v>
      </c>
    </row>
    <row r="90" spans="1:3" x14ac:dyDescent="0.2">
      <c r="B90" s="4" t="s">
        <v>126</v>
      </c>
      <c r="C90" s="14" t="str">
        <f>CONCATENATE("All Students Receiving Any Aid ",C2&amp;CHAR(10)&amp;TEXT(C91,"00,000")," ","Students")</f>
        <v>All Students Receiving Any Aid 2013-2014
20,783 Students</v>
      </c>
    </row>
    <row r="91" spans="1:3" x14ac:dyDescent="0.2">
      <c r="B91" s="4" t="s">
        <v>0</v>
      </c>
      <c r="C91" s="16">
        <f>M9</f>
        <v>20783</v>
      </c>
    </row>
    <row r="92" spans="1:3" x14ac:dyDescent="0.2">
      <c r="B92" s="4" t="s">
        <v>1</v>
      </c>
      <c r="C92" s="16">
        <f>M10</f>
        <v>12918</v>
      </c>
    </row>
    <row r="93" spans="1:3" x14ac:dyDescent="0.2">
      <c r="B93" s="4" t="s">
        <v>137</v>
      </c>
      <c r="C93" s="16">
        <f>M11</f>
        <v>7865</v>
      </c>
    </row>
    <row r="95" spans="1:3" x14ac:dyDescent="0.2">
      <c r="A95" s="1" t="s">
        <v>25</v>
      </c>
    </row>
    <row r="96" spans="1:3" x14ac:dyDescent="0.2">
      <c r="A96" s="1" t="s">
        <v>47</v>
      </c>
    </row>
    <row r="97" spans="1:7" x14ac:dyDescent="0.2">
      <c r="B97" s="4" t="s">
        <v>126</v>
      </c>
      <c r="C97" s="14" t="str">
        <f>CONCATENATE("Total Aid Distributed to All Students, by Source"&amp;CHAR(10)&amp;C2, ", In Millions")</f>
        <v>Total Aid Distributed to All Students, by Source
2013-2014, In Millions</v>
      </c>
    </row>
    <row r="98" spans="1:7" x14ac:dyDescent="0.2">
      <c r="B98" s="4" t="s">
        <v>138</v>
      </c>
      <c r="C98" s="21">
        <f>E98/1000000</f>
        <v>200.95062100000001</v>
      </c>
      <c r="D98" s="18">
        <f>N18</f>
        <v>0.4704429552631787</v>
      </c>
      <c r="E98" s="14">
        <f>M18</f>
        <v>200950621</v>
      </c>
      <c r="G98" s="22"/>
    </row>
    <row r="99" spans="1:7" x14ac:dyDescent="0.2">
      <c r="B99" s="4" t="s">
        <v>139</v>
      </c>
      <c r="C99" s="21">
        <f>E99/1000000</f>
        <v>20.363997000000001</v>
      </c>
      <c r="D99" s="18">
        <f t="shared" ref="D99:D100" si="0">N19</f>
        <v>4.767389561662766E-2</v>
      </c>
      <c r="E99" s="14">
        <f>M19</f>
        <v>20363997</v>
      </c>
      <c r="G99" s="22"/>
    </row>
    <row r="100" spans="1:7" x14ac:dyDescent="0.2">
      <c r="B100" s="4" t="s">
        <v>140</v>
      </c>
      <c r="C100" s="21">
        <f>E100/1000000</f>
        <v>205.837322</v>
      </c>
      <c r="D100" s="18">
        <f t="shared" si="0"/>
        <v>0.48188314912019364</v>
      </c>
      <c r="E100" s="14">
        <f>M20</f>
        <v>205837322</v>
      </c>
      <c r="G100" s="22"/>
    </row>
    <row r="102" spans="1:7" x14ac:dyDescent="0.2">
      <c r="A102" s="1" t="s">
        <v>51</v>
      </c>
    </row>
    <row r="103" spans="1:7" x14ac:dyDescent="0.2">
      <c r="A103" s="1" t="s">
        <v>49</v>
      </c>
    </row>
    <row r="104" spans="1:7" x14ac:dyDescent="0.2">
      <c r="B104" s="4" t="s">
        <v>126</v>
      </c>
      <c r="C104" s="14" t="str">
        <f>CONCATENATE("Total Aid Distributed to Undergraduate Students, by Source"&amp;CHAR(10)&amp;C2, ", In Millions")</f>
        <v>Total Aid Distributed to Undergraduate Students, by Source
2013-2014, In Millions</v>
      </c>
    </row>
    <row r="105" spans="1:7" x14ac:dyDescent="0.2">
      <c r="B105" s="4" t="s">
        <v>138</v>
      </c>
      <c r="C105" s="21">
        <f>E105/1000000</f>
        <v>67.859547000000006</v>
      </c>
      <c r="D105" s="18">
        <f>D18</f>
        <v>0.34531615355173012</v>
      </c>
      <c r="E105" s="14">
        <f>C18</f>
        <v>67859547</v>
      </c>
    </row>
    <row r="106" spans="1:7" x14ac:dyDescent="0.2">
      <c r="B106" s="4" t="s">
        <v>139</v>
      </c>
      <c r="C106" s="21">
        <f>E106/1000000</f>
        <v>14.551964999999999</v>
      </c>
      <c r="D106" s="18">
        <f t="shared" ref="D106:D107" si="1">D19</f>
        <v>7.4050429196342887E-2</v>
      </c>
      <c r="E106" s="14">
        <f t="shared" ref="E106:E107" si="2">C19</f>
        <v>14551965</v>
      </c>
    </row>
    <row r="107" spans="1:7" x14ac:dyDescent="0.2">
      <c r="B107" s="4" t="s">
        <v>140</v>
      </c>
      <c r="C107" s="21">
        <f>E107/1000000</f>
        <v>114.102744</v>
      </c>
      <c r="D107" s="18">
        <f t="shared" si="1"/>
        <v>0.58063341725192696</v>
      </c>
      <c r="E107" s="14">
        <f t="shared" si="2"/>
        <v>114102744</v>
      </c>
    </row>
    <row r="109" spans="1:7" x14ac:dyDescent="0.2">
      <c r="A109" s="1" t="s">
        <v>52</v>
      </c>
    </row>
    <row r="110" spans="1:7" x14ac:dyDescent="0.2">
      <c r="A110" s="1" t="s">
        <v>53</v>
      </c>
    </row>
    <row r="111" spans="1:7" x14ac:dyDescent="0.2">
      <c r="B111" s="4" t="s">
        <v>126</v>
      </c>
      <c r="C111" s="14" t="str">
        <f>CONCATENATE("Total Aid Distributed to Graduate/Professional Students, by Source"&amp;CHAR(10)&amp;C2, ", In Millions")</f>
        <v>Total Aid Distributed to Graduate/Professional Students, by Source
2013-2014, In Millions</v>
      </c>
    </row>
    <row r="112" spans="1:7" x14ac:dyDescent="0.2">
      <c r="B112" s="4" t="s">
        <v>138</v>
      </c>
      <c r="C112" s="21">
        <f>E112/1000000</f>
        <v>133.09107399999999</v>
      </c>
      <c r="D112" s="18">
        <f>I18</f>
        <v>0.57705693055780083</v>
      </c>
      <c r="E112" s="14">
        <f>H18</f>
        <v>133091074</v>
      </c>
    </row>
    <row r="113" spans="1:5" x14ac:dyDescent="0.2">
      <c r="B113" s="4" t="s">
        <v>139</v>
      </c>
      <c r="C113" s="21">
        <f>E113/1000000</f>
        <v>5.8120320000000003</v>
      </c>
      <c r="D113" s="18">
        <f t="shared" ref="D113:D114" si="3">I19</f>
        <v>2.5199836814178207E-2</v>
      </c>
      <c r="E113" s="14">
        <f t="shared" ref="E113:E114" si="4">H19</f>
        <v>5812032</v>
      </c>
    </row>
    <row r="114" spans="1:5" x14ac:dyDescent="0.2">
      <c r="B114" s="4" t="s">
        <v>140</v>
      </c>
      <c r="C114" s="21">
        <f>E114/1000000</f>
        <v>91.734577999999999</v>
      </c>
      <c r="D114" s="18">
        <f t="shared" si="3"/>
        <v>0.39774323262802103</v>
      </c>
      <c r="E114" s="14">
        <f t="shared" si="4"/>
        <v>91734578</v>
      </c>
    </row>
    <row r="116" spans="1:5" x14ac:dyDescent="0.2">
      <c r="A116" s="1" t="s">
        <v>48</v>
      </c>
    </row>
    <row r="117" spans="1:5" x14ac:dyDescent="0.2">
      <c r="A117" s="1" t="s">
        <v>54</v>
      </c>
    </row>
    <row r="118" spans="1:5" x14ac:dyDescent="0.2">
      <c r="B118" s="4" t="s">
        <v>126</v>
      </c>
      <c r="C118" s="14" t="str">
        <f>CONCATENATE("All Students Receiving Need-Based Aid ",C2&amp;CHAR(10)&amp;TEXT(C119,"00,000")," ","Students")</f>
        <v>All Students Receiving Need-Based Aid 2013-2014
12,918 Students</v>
      </c>
    </row>
    <row r="119" spans="1:5" x14ac:dyDescent="0.2">
      <c r="B119" s="4" t="s">
        <v>54</v>
      </c>
      <c r="C119" s="16">
        <f>M10</f>
        <v>12918</v>
      </c>
    </row>
    <row r="120" spans="1:5" x14ac:dyDescent="0.2">
      <c r="B120" s="4" t="s">
        <v>6</v>
      </c>
      <c r="C120" s="16">
        <f>C10</f>
        <v>7932</v>
      </c>
    </row>
    <row r="121" spans="1:5" x14ac:dyDescent="0.2">
      <c r="B121" s="4" t="s">
        <v>125</v>
      </c>
      <c r="C121" s="16">
        <f>H10</f>
        <v>4986</v>
      </c>
    </row>
    <row r="122" spans="1:5" x14ac:dyDescent="0.2">
      <c r="B122" s="4"/>
      <c r="C122" s="23"/>
    </row>
    <row r="123" spans="1:5" x14ac:dyDescent="0.2">
      <c r="A123" s="1" t="s">
        <v>50</v>
      </c>
    </row>
    <row r="124" spans="1:5" x14ac:dyDescent="0.2">
      <c r="A124" s="1" t="s">
        <v>55</v>
      </c>
    </row>
    <row r="125" spans="1:5" x14ac:dyDescent="0.2">
      <c r="B125" s="4" t="s">
        <v>126</v>
      </c>
      <c r="C125" s="14" t="str">
        <f>CONCATENATE("Need-Based Aid Distributed to Students, by Type"&amp;CHAR(10)&amp;C2)</f>
        <v>Need-Based Aid Distributed to Students, by Type
2013-2014</v>
      </c>
    </row>
    <row r="126" spans="1:5" x14ac:dyDescent="0.2">
      <c r="B126" s="4" t="s">
        <v>142</v>
      </c>
    </row>
    <row r="127" spans="1:5" x14ac:dyDescent="0.2">
      <c r="B127" s="4" t="s">
        <v>2</v>
      </c>
      <c r="C127" s="18">
        <f>I23</f>
        <v>0.37970951277975235</v>
      </c>
      <c r="D127" s="14">
        <f>H23</f>
        <v>87575323</v>
      </c>
    </row>
    <row r="128" spans="1:5" x14ac:dyDescent="0.2">
      <c r="B128" s="4" t="s">
        <v>9</v>
      </c>
      <c r="C128" s="18">
        <f t="shared" ref="C128:C129" si="5">I24</f>
        <v>0.62028305131487949</v>
      </c>
      <c r="D128" s="14">
        <f t="shared" ref="D128:D129" si="6">H24</f>
        <v>143060647</v>
      </c>
    </row>
    <row r="129" spans="1:5" x14ac:dyDescent="0.2">
      <c r="B129" s="4" t="s">
        <v>8</v>
      </c>
      <c r="C129" s="20">
        <f t="shared" si="5"/>
        <v>7.4359053681968753E-6</v>
      </c>
      <c r="D129" s="14">
        <f t="shared" si="6"/>
        <v>1715</v>
      </c>
    </row>
    <row r="130" spans="1:5" x14ac:dyDescent="0.2">
      <c r="B130" s="4" t="s">
        <v>143</v>
      </c>
    </row>
    <row r="131" spans="1:5" x14ac:dyDescent="0.2">
      <c r="B131" s="4" t="s">
        <v>2</v>
      </c>
      <c r="C131" s="18">
        <f>D23</f>
        <v>0.71061132073797229</v>
      </c>
      <c r="D131" s="14">
        <f>C23</f>
        <v>139645255</v>
      </c>
    </row>
    <row r="132" spans="1:5" x14ac:dyDescent="0.2">
      <c r="B132" s="4" t="s">
        <v>9</v>
      </c>
      <c r="C132" s="18">
        <f t="shared" ref="C132:C133" si="7">D24</f>
        <v>0.27244961810811325</v>
      </c>
      <c r="D132" s="14">
        <f t="shared" ref="D132:D133" si="8">C24</f>
        <v>53540234</v>
      </c>
    </row>
    <row r="133" spans="1:5" x14ac:dyDescent="0.2">
      <c r="B133" s="4" t="s">
        <v>8</v>
      </c>
      <c r="C133" s="18">
        <f t="shared" si="7"/>
        <v>1.6939061153914452E-2</v>
      </c>
      <c r="D133" s="14">
        <f t="shared" si="8"/>
        <v>3328767</v>
      </c>
    </row>
    <row r="135" spans="1:5" x14ac:dyDescent="0.2">
      <c r="A135" s="1" t="s">
        <v>56</v>
      </c>
    </row>
    <row r="136" spans="1:5" x14ac:dyDescent="0.2">
      <c r="A136" s="1" t="s">
        <v>66</v>
      </c>
    </row>
    <row r="137" spans="1:5" x14ac:dyDescent="0.2">
      <c r="B137" s="4" t="s">
        <v>132</v>
      </c>
      <c r="C137" s="14" t="str">
        <f>CONCATENATE("Percent of All Undergraduate Students Receiving"&amp;CHAR(10)&amp;"Need-Based Aid ", C2)</f>
        <v>Percent of All Undergraduate Students Receiving
Need-Based Aid 2013-2014</v>
      </c>
    </row>
    <row r="138" spans="1:5" x14ac:dyDescent="0.2">
      <c r="B138" s="4" t="s">
        <v>133</v>
      </c>
      <c r="C138" s="14" t="str">
        <f>CONCATENATE("(includes resident and non-resident students)"&amp;CHAR(10)&amp;"Total Undergraduate Enrollment = ",TEXT(C139,"00,000"))</f>
        <v>(includes resident and non-resident students)
Total Undergraduate Enrollment = 18,370</v>
      </c>
    </row>
    <row r="139" spans="1:5" x14ac:dyDescent="0.2">
      <c r="B139" s="4" t="s">
        <v>16</v>
      </c>
      <c r="C139" s="16">
        <f>C13</f>
        <v>18370</v>
      </c>
    </row>
    <row r="140" spans="1:5" x14ac:dyDescent="0.2">
      <c r="B140" s="4" t="s">
        <v>144</v>
      </c>
      <c r="C140" s="16">
        <f>C14</f>
        <v>7932</v>
      </c>
    </row>
    <row r="141" spans="1:5" x14ac:dyDescent="0.2">
      <c r="B141" s="4" t="s">
        <v>145</v>
      </c>
      <c r="C141" s="16">
        <f>C15</f>
        <v>10438</v>
      </c>
    </row>
    <row r="143" spans="1:5" x14ac:dyDescent="0.2">
      <c r="A143" s="5" t="s">
        <v>70</v>
      </c>
      <c r="B143" s="13"/>
      <c r="C143" s="13"/>
      <c r="D143" s="13"/>
      <c r="E143" s="13"/>
    </row>
    <row r="144" spans="1:5" x14ac:dyDescent="0.2">
      <c r="A144" s="5" t="s">
        <v>71</v>
      </c>
      <c r="B144" s="13"/>
      <c r="C144" s="13"/>
      <c r="D144" s="13"/>
      <c r="E144" s="13"/>
    </row>
    <row r="145" spans="1:5" x14ac:dyDescent="0.2">
      <c r="B145" s="4" t="s">
        <v>126</v>
      </c>
      <c r="C145" s="14" t="str">
        <f>CONCATENATE("Typical Financial Aid Package for"&amp;CHAR(10)&amp;"Aid-Eligible Freshmen Applying by March 1st"&amp;CHAR(10)&amp; C2)</f>
        <v>Typical Financial Aid Package for
Aid-Eligible Freshmen Applying by March 1st
2013-2014</v>
      </c>
    </row>
    <row r="146" spans="1:5" x14ac:dyDescent="0.2">
      <c r="B146" s="4" t="s">
        <v>9</v>
      </c>
      <c r="C146" s="19">
        <f>C44</f>
        <v>0.3</v>
      </c>
    </row>
    <row r="147" spans="1:5" x14ac:dyDescent="0.2">
      <c r="B147" s="4" t="s">
        <v>2</v>
      </c>
      <c r="C147" s="19">
        <f t="shared" ref="C147:C148" si="9">C45</f>
        <v>0.65</v>
      </c>
    </row>
    <row r="148" spans="1:5" x14ac:dyDescent="0.2">
      <c r="B148" s="4" t="s">
        <v>8</v>
      </c>
      <c r="C148" s="19">
        <f t="shared" si="9"/>
        <v>0.05</v>
      </c>
    </row>
    <row r="149" spans="1:5" x14ac:dyDescent="0.2">
      <c r="B149" s="4"/>
      <c r="C149" s="15"/>
    </row>
    <row r="150" spans="1:5" x14ac:dyDescent="0.2">
      <c r="A150" s="1" t="s">
        <v>72</v>
      </c>
    </row>
    <row r="151" spans="1:5" x14ac:dyDescent="0.2">
      <c r="A151" s="1" t="s">
        <v>73</v>
      </c>
    </row>
    <row r="152" spans="1:5" x14ac:dyDescent="0.2">
      <c r="B152" s="4" t="s">
        <v>126</v>
      </c>
      <c r="C152" s="14" t="str">
        <f>CONCATENATE("Need-Based Aid Distributed to All Students, by Source"&amp;CHAR(10)&amp;C2, ", In Millions")</f>
        <v>Need-Based Aid Distributed to All Students, by Source
2013-2014, In Millions</v>
      </c>
    </row>
    <row r="153" spans="1:5" x14ac:dyDescent="0.2">
      <c r="B153" s="4" t="s">
        <v>138</v>
      </c>
      <c r="C153" s="21">
        <f>E153/1000000</f>
        <v>183.786089</v>
      </c>
      <c r="D153" s="18">
        <f>N33</f>
        <v>0.56151839258736203</v>
      </c>
      <c r="E153" s="14">
        <f>M33</f>
        <v>183786089</v>
      </c>
    </row>
    <row r="154" spans="1:5" x14ac:dyDescent="0.2">
      <c r="B154" s="4" t="s">
        <v>139</v>
      </c>
      <c r="C154" s="21">
        <f>E154/1000000</f>
        <v>18.727252</v>
      </c>
      <c r="D154" s="18">
        <f t="shared" ref="D154:D155" si="10">N34</f>
        <v>5.7217042366130656E-2</v>
      </c>
      <c r="E154" s="14">
        <f t="shared" ref="E154:E155" si="11">M34</f>
        <v>18727252</v>
      </c>
    </row>
    <row r="155" spans="1:5" x14ac:dyDescent="0.2">
      <c r="B155" s="4" t="s">
        <v>140</v>
      </c>
      <c r="C155" s="21">
        <f>E155/1000000</f>
        <v>124.788652</v>
      </c>
      <c r="D155" s="18">
        <f t="shared" si="10"/>
        <v>0.38126456504650735</v>
      </c>
      <c r="E155" s="14">
        <f t="shared" si="11"/>
        <v>124788652</v>
      </c>
    </row>
    <row r="157" spans="1:5" x14ac:dyDescent="0.2">
      <c r="A157" s="1" t="s">
        <v>74</v>
      </c>
    </row>
    <row r="158" spans="1:5" x14ac:dyDescent="0.2">
      <c r="A158" s="1" t="s">
        <v>75</v>
      </c>
    </row>
    <row r="159" spans="1:5" x14ac:dyDescent="0.2">
      <c r="B159" s="4" t="s">
        <v>126</v>
      </c>
      <c r="C159" s="14" t="str">
        <f>CONCATENATE("Need-Based Aid Distributed to Undergraduates, by Source"&amp;CHAR(10)&amp;C2, ", In Millions")</f>
        <v>Need-Based Aid Distributed to Undergraduates, by Source
2013-2014, In Millions</v>
      </c>
    </row>
    <row r="160" spans="1:5" x14ac:dyDescent="0.2">
      <c r="B160" s="4" t="s">
        <v>138</v>
      </c>
      <c r="C160" s="21">
        <f>E160/1000000</f>
        <v>56.481701999999999</v>
      </c>
      <c r="D160" s="18">
        <f>D33</f>
        <v>0.35901104488859253</v>
      </c>
      <c r="E160" s="14">
        <f>C33</f>
        <v>56481702</v>
      </c>
    </row>
    <row r="161" spans="1:5" x14ac:dyDescent="0.2">
      <c r="B161" s="4" t="s">
        <v>139</v>
      </c>
      <c r="C161" s="21">
        <f>E161/1000000</f>
        <v>13.463108999999999</v>
      </c>
      <c r="D161" s="18">
        <f t="shared" ref="D161:D162" si="12">D34</f>
        <v>8.5574702220181223E-2</v>
      </c>
      <c r="E161" s="14">
        <f t="shared" ref="E161:E162" si="13">C34</f>
        <v>13463109</v>
      </c>
    </row>
    <row r="162" spans="1:5" x14ac:dyDescent="0.2">
      <c r="B162" s="4" t="s">
        <v>140</v>
      </c>
      <c r="C162" s="21">
        <f>E162/1000000</f>
        <v>87.380994999999999</v>
      </c>
      <c r="D162" s="18">
        <f t="shared" si="12"/>
        <v>0.55541425289122626</v>
      </c>
      <c r="E162" s="14">
        <f t="shared" si="13"/>
        <v>87380995</v>
      </c>
    </row>
    <row r="164" spans="1:5" x14ac:dyDescent="0.2">
      <c r="A164" s="1" t="s">
        <v>76</v>
      </c>
    </row>
    <row r="165" spans="1:5" x14ac:dyDescent="0.2">
      <c r="A165" s="1" t="s">
        <v>77</v>
      </c>
    </row>
    <row r="166" spans="1:5" x14ac:dyDescent="0.2">
      <c r="B166" s="4" t="s">
        <v>126</v>
      </c>
      <c r="C166" s="14" t="str">
        <f>CONCATENATE("Need-Based Aid Distributed to Graduate/Professional Students, by Source"&amp;CHAR(10)&amp;C2, ", In Millions")</f>
        <v>Need-Based Aid Distributed to Graduate/Professional Students, by Source
2013-2014, In Millions</v>
      </c>
    </row>
    <row r="167" spans="1:5" x14ac:dyDescent="0.2">
      <c r="B167" s="4" t="s">
        <v>138</v>
      </c>
      <c r="C167" s="21">
        <f>E167/1000000</f>
        <v>127.30438700000001</v>
      </c>
      <c r="D167" s="18">
        <f>I33</f>
        <v>0.74895424616155204</v>
      </c>
      <c r="E167" s="14">
        <f>H33</f>
        <v>127304387</v>
      </c>
    </row>
    <row r="168" spans="1:5" x14ac:dyDescent="0.2">
      <c r="B168" s="4" t="s">
        <v>139</v>
      </c>
      <c r="C168" s="21">
        <f>E168/1000000</f>
        <v>5.2641429999999998</v>
      </c>
      <c r="D168" s="18">
        <f t="shared" ref="D168:D169" si="14">I34</f>
        <v>3.0969885211038415E-2</v>
      </c>
      <c r="E168" s="14">
        <f t="shared" ref="E168:E169" si="15">H34</f>
        <v>5264143</v>
      </c>
    </row>
    <row r="169" spans="1:5" x14ac:dyDescent="0.2">
      <c r="B169" s="4" t="s">
        <v>140</v>
      </c>
      <c r="C169" s="21">
        <f>E169/1000000</f>
        <v>37.407657</v>
      </c>
      <c r="D169" s="18">
        <f t="shared" si="14"/>
        <v>0.22007586862740955</v>
      </c>
      <c r="E169" s="14">
        <f t="shared" si="15"/>
        <v>37407657</v>
      </c>
    </row>
    <row r="171" spans="1:5" x14ac:dyDescent="0.2">
      <c r="A171" s="5" t="s">
        <v>78</v>
      </c>
    </row>
    <row r="172" spans="1:5" x14ac:dyDescent="0.2">
      <c r="A172" s="5" t="s">
        <v>88</v>
      </c>
    </row>
    <row r="173" spans="1:5" x14ac:dyDescent="0.2">
      <c r="A173" s="13"/>
      <c r="B173" s="4" t="s">
        <v>126</v>
      </c>
      <c r="C173" s="14" t="str">
        <f>CONCATENATE("Gift Aid Distributed to All Students, by Source"&amp;CHAR(10)&amp;C2, ", In Millions")</f>
        <v>Gift Aid Distributed to All Students, by Source
2013-2014, In Millions</v>
      </c>
    </row>
    <row r="174" spans="1:5" x14ac:dyDescent="0.2">
      <c r="A174" s="13"/>
      <c r="B174" s="4" t="s">
        <v>138</v>
      </c>
      <c r="C174" s="21">
        <f>E174/1000000</f>
        <v>17.919343000000001</v>
      </c>
      <c r="D174" s="18">
        <f>N28</f>
        <v>7.8863205245711526E-2</v>
      </c>
      <c r="E174" s="14">
        <f>M28</f>
        <v>17919343</v>
      </c>
    </row>
    <row r="175" spans="1:5" x14ac:dyDescent="0.2">
      <c r="A175" s="13"/>
      <c r="B175" s="4" t="s">
        <v>139</v>
      </c>
      <c r="C175" s="21">
        <f>E175/1000000</f>
        <v>17.463925</v>
      </c>
      <c r="D175" s="18">
        <f t="shared" ref="D175:D176" si="16">N29</f>
        <v>7.6858906136832841E-2</v>
      </c>
      <c r="E175" s="14">
        <f t="shared" ref="E175:E176" si="17">M29</f>
        <v>17463925</v>
      </c>
    </row>
    <row r="176" spans="1:5" x14ac:dyDescent="0.2">
      <c r="A176" s="13"/>
      <c r="B176" s="4" t="s">
        <v>140</v>
      </c>
      <c r="C176" s="21">
        <f>E176/1000000</f>
        <v>191.837309</v>
      </c>
      <c r="D176" s="18">
        <f t="shared" si="16"/>
        <v>0.84427788861745567</v>
      </c>
      <c r="E176" s="14">
        <f t="shared" si="17"/>
        <v>191837309</v>
      </c>
    </row>
    <row r="177" spans="1:5" x14ac:dyDescent="0.2">
      <c r="A177" s="13"/>
    </row>
    <row r="178" spans="1:5" x14ac:dyDescent="0.2">
      <c r="A178" s="5" t="s">
        <v>89</v>
      </c>
    </row>
    <row r="179" spans="1:5" x14ac:dyDescent="0.2">
      <c r="A179" s="5" t="s">
        <v>90</v>
      </c>
    </row>
    <row r="180" spans="1:5" x14ac:dyDescent="0.2">
      <c r="A180" s="13"/>
      <c r="B180" s="4" t="s">
        <v>126</v>
      </c>
      <c r="C180" s="14" t="str">
        <f>CONCATENATE("Gift Aid Distributed to Undergraduates, by Source"&amp;CHAR(10)&amp;C2, ", In Millions")</f>
        <v>Gift Aid Distributed to Undergraduates, by Source
2013-2014, In Millions</v>
      </c>
    </row>
    <row r="181" spans="1:5" x14ac:dyDescent="0.2">
      <c r="A181" s="13"/>
      <c r="B181" s="4" t="s">
        <v>138</v>
      </c>
      <c r="C181" s="21">
        <f>E181/1000000</f>
        <v>17.506086</v>
      </c>
      <c r="D181" s="18">
        <f>D28</f>
        <v>0.12536112308291464</v>
      </c>
      <c r="E181" s="14">
        <f>C28</f>
        <v>17506086</v>
      </c>
    </row>
    <row r="182" spans="1:5" x14ac:dyDescent="0.2">
      <c r="A182" s="13"/>
      <c r="B182" s="4" t="s">
        <v>139</v>
      </c>
      <c r="C182" s="21">
        <f>E182/1000000</f>
        <v>14.155215</v>
      </c>
      <c r="D182" s="18">
        <f t="shared" ref="D182:D183" si="18">D29</f>
        <v>0.10136552795868359</v>
      </c>
      <c r="E182" s="14">
        <f t="shared" ref="E182:E183" si="19">C29</f>
        <v>14155215</v>
      </c>
    </row>
    <row r="183" spans="1:5" x14ac:dyDescent="0.2">
      <c r="A183" s="13"/>
      <c r="B183" s="4" t="s">
        <v>140</v>
      </c>
      <c r="C183" s="21">
        <f>E183/1000000</f>
        <v>107.983954</v>
      </c>
      <c r="D183" s="18">
        <f t="shared" si="18"/>
        <v>0.77327334895840172</v>
      </c>
      <c r="E183" s="14">
        <f t="shared" si="19"/>
        <v>107983954</v>
      </c>
    </row>
    <row r="184" spans="1:5" x14ac:dyDescent="0.2">
      <c r="A184" s="13"/>
    </row>
    <row r="185" spans="1:5" x14ac:dyDescent="0.2">
      <c r="A185" s="5" t="s">
        <v>91</v>
      </c>
    </row>
    <row r="186" spans="1:5" x14ac:dyDescent="0.2">
      <c r="A186" s="5" t="s">
        <v>92</v>
      </c>
    </row>
    <row r="187" spans="1:5" x14ac:dyDescent="0.2">
      <c r="B187" s="4" t="s">
        <v>126</v>
      </c>
      <c r="C187" s="14" t="str">
        <f>CONCATENATE("Gift Aid Distributed to Graduate/Professional Students, by Source"&amp;CHAR(10)&amp;C2, ", In Millions")</f>
        <v>Gift Aid Distributed to Graduate/Professional Students, by Source
2013-2014, In Millions</v>
      </c>
    </row>
    <row r="188" spans="1:5" x14ac:dyDescent="0.2">
      <c r="B188" s="4" t="s">
        <v>138</v>
      </c>
      <c r="C188" s="21">
        <f>E188/1000000</f>
        <v>0.41325699999999999</v>
      </c>
      <c r="D188" s="18">
        <f>I28</f>
        <v>4.7188750273735791E-3</v>
      </c>
      <c r="E188" s="14">
        <f>H28</f>
        <v>413257</v>
      </c>
    </row>
    <row r="189" spans="1:5" x14ac:dyDescent="0.2">
      <c r="B189" s="4" t="s">
        <v>139</v>
      </c>
      <c r="C189" s="21">
        <f>E189/1000000</f>
        <v>3.30871</v>
      </c>
      <c r="D189" s="18">
        <f t="shared" ref="D189:D190" si="20">I29</f>
        <v>3.7781305560029801E-2</v>
      </c>
      <c r="E189" s="14">
        <f t="shared" ref="E189:E190" si="21">H29</f>
        <v>3308710</v>
      </c>
    </row>
    <row r="190" spans="1:5" x14ac:dyDescent="0.2">
      <c r="B190" s="4" t="s">
        <v>140</v>
      </c>
      <c r="C190" s="21">
        <f>E190/1000000</f>
        <v>83.853354999999993</v>
      </c>
      <c r="D190" s="18">
        <f t="shared" si="20"/>
        <v>0.95749981941259665</v>
      </c>
      <c r="E190" s="14">
        <f t="shared" si="21"/>
        <v>83853355</v>
      </c>
    </row>
    <row r="192" spans="1:5" x14ac:dyDescent="0.2">
      <c r="A192" s="1" t="s">
        <v>93</v>
      </c>
    </row>
    <row r="193" spans="1:5" x14ac:dyDescent="0.2">
      <c r="A193" s="1" t="s">
        <v>94</v>
      </c>
    </row>
    <row r="194" spans="1:5" x14ac:dyDescent="0.2">
      <c r="B194" s="4" t="s">
        <v>126</v>
      </c>
      <c r="C194" s="14" t="str">
        <f>CONCATENATE("Total Aid Distributed to All Students, by Type"&amp;CHAR(10)&amp;C2, ", In Millions")</f>
        <v>Total Aid Distributed to All Students, by Type
2013-2014, In Millions</v>
      </c>
    </row>
    <row r="195" spans="1:5" x14ac:dyDescent="0.2">
      <c r="B195" s="4" t="s">
        <v>146</v>
      </c>
      <c r="C195" s="21">
        <f>E195/1000000</f>
        <v>227.22057799999999</v>
      </c>
      <c r="D195" s="18">
        <f>N23</f>
        <v>0.53194321783498577</v>
      </c>
      <c r="E195" s="14">
        <f>M23</f>
        <v>227220578</v>
      </c>
    </row>
    <row r="196" spans="1:5" x14ac:dyDescent="0.2">
      <c r="B196" s="4" t="s">
        <v>147</v>
      </c>
      <c r="C196" s="21">
        <f>E196/1000000</f>
        <v>196.60088099999999</v>
      </c>
      <c r="D196" s="18">
        <f t="shared" ref="D196:D197" si="22">N24</f>
        <v>0.46025983292909817</v>
      </c>
      <c r="E196" s="14">
        <f t="shared" ref="E196:E197" si="23">M24</f>
        <v>196600881</v>
      </c>
    </row>
    <row r="197" spans="1:5" x14ac:dyDescent="0.2">
      <c r="B197" s="4" t="s">
        <v>148</v>
      </c>
      <c r="C197" s="21">
        <f>E197/1000000</f>
        <v>3.3304819999999999</v>
      </c>
      <c r="D197" s="18">
        <f t="shared" si="22"/>
        <v>7.7969492359160324E-3</v>
      </c>
      <c r="E197" s="14">
        <f t="shared" si="23"/>
        <v>3330482</v>
      </c>
    </row>
    <row r="199" spans="1:5" x14ac:dyDescent="0.2">
      <c r="A199" s="1" t="s">
        <v>95</v>
      </c>
    </row>
    <row r="200" spans="1:5" x14ac:dyDescent="0.2">
      <c r="A200" s="1" t="s">
        <v>98</v>
      </c>
    </row>
    <row r="201" spans="1:5" x14ac:dyDescent="0.2">
      <c r="B201" s="4" t="s">
        <v>126</v>
      </c>
      <c r="C201" s="14" t="str">
        <f>CONCATENATE("Total Aid Distributed to Undergraduate Students, by Type"&amp;CHAR(10)&amp;C2, ", In Millions")</f>
        <v>Total Aid Distributed to Undergraduate Students, by Type
2013-2014, In Millions</v>
      </c>
    </row>
    <row r="202" spans="1:5" x14ac:dyDescent="0.2">
      <c r="B202" s="4" t="s">
        <v>146</v>
      </c>
      <c r="C202" s="21">
        <f>E202/1000000</f>
        <v>139.64525499999999</v>
      </c>
      <c r="D202" s="18">
        <f>D23</f>
        <v>0.71061132073797229</v>
      </c>
      <c r="E202" s="14">
        <f>C23</f>
        <v>139645255</v>
      </c>
    </row>
    <row r="203" spans="1:5" x14ac:dyDescent="0.2">
      <c r="B203" s="4" t="s">
        <v>147</v>
      </c>
      <c r="C203" s="21">
        <f>E203/1000000</f>
        <v>53.540233999999998</v>
      </c>
      <c r="D203" s="18">
        <f t="shared" ref="D203:D204" si="24">D24</f>
        <v>0.27244961810811325</v>
      </c>
      <c r="E203" s="14">
        <f t="shared" ref="E203:E204" si="25">C24</f>
        <v>53540234</v>
      </c>
    </row>
    <row r="204" spans="1:5" x14ac:dyDescent="0.2">
      <c r="B204" s="4" t="s">
        <v>148</v>
      </c>
      <c r="C204" s="21">
        <f>E204/1000000</f>
        <v>3.328767</v>
      </c>
      <c r="D204" s="18">
        <f t="shared" si="24"/>
        <v>1.6939061153914452E-2</v>
      </c>
      <c r="E204" s="14">
        <f t="shared" si="25"/>
        <v>3328767</v>
      </c>
    </row>
    <row r="206" spans="1:5" x14ac:dyDescent="0.2">
      <c r="A206" s="1" t="s">
        <v>96</v>
      </c>
    </row>
    <row r="207" spans="1:5" x14ac:dyDescent="0.2">
      <c r="A207" s="1" t="s">
        <v>97</v>
      </c>
    </row>
    <row r="208" spans="1:5" x14ac:dyDescent="0.2">
      <c r="B208" s="4" t="s">
        <v>126</v>
      </c>
      <c r="C208" s="14" t="str">
        <f>CONCATENATE("Total Aid Distributed to Graduate/Professional Students, by Type"&amp;CHAR(10)&amp;C2, ", In Millions")</f>
        <v>Total Aid Distributed to Graduate/Professional Students, by Type
2013-2014, In Millions</v>
      </c>
    </row>
    <row r="209" spans="1:5" x14ac:dyDescent="0.2">
      <c r="B209" s="4" t="s">
        <v>146</v>
      </c>
      <c r="C209" s="21">
        <f>E209/1000000</f>
        <v>87.575322999999997</v>
      </c>
      <c r="D209" s="18">
        <f>I23</f>
        <v>0.37970951277975235</v>
      </c>
      <c r="E209" s="14">
        <f>H23</f>
        <v>87575323</v>
      </c>
    </row>
    <row r="210" spans="1:5" x14ac:dyDescent="0.2">
      <c r="B210" s="4" t="s">
        <v>147</v>
      </c>
      <c r="C210" s="21">
        <f>E210/1000000</f>
        <v>143.06064699999999</v>
      </c>
      <c r="D210" s="18">
        <f t="shared" ref="D210:D211" si="26">I24</f>
        <v>0.62028305131487949</v>
      </c>
      <c r="E210" s="14">
        <f t="shared" ref="E210:E211" si="27">H24</f>
        <v>143060647</v>
      </c>
    </row>
    <row r="211" spans="1:5" x14ac:dyDescent="0.2">
      <c r="B211" s="4" t="s">
        <v>148</v>
      </c>
      <c r="C211" s="21">
        <f>E211/1000000</f>
        <v>1.7149999999999999E-3</v>
      </c>
      <c r="D211" s="20">
        <f t="shared" si="26"/>
        <v>7.4359053681968753E-6</v>
      </c>
      <c r="E211" s="14">
        <f t="shared" si="27"/>
        <v>1715</v>
      </c>
    </row>
    <row r="213" spans="1:5" x14ac:dyDescent="0.2">
      <c r="A213" s="5" t="s">
        <v>99</v>
      </c>
    </row>
    <row r="214" spans="1:5" x14ac:dyDescent="0.2">
      <c r="A214" s="5" t="s">
        <v>100</v>
      </c>
    </row>
    <row r="215" spans="1:5" x14ac:dyDescent="0.2">
      <c r="A215" s="13"/>
      <c r="B215" s="4" t="s">
        <v>126</v>
      </c>
      <c r="C215" s="14" t="str">
        <f>CONCATENATE("Need-Based Aid Distributed to All Students, by Type"&amp;CHAR(10)&amp;C2, ", In Millions")</f>
        <v>Need-Based Aid Distributed to All Students, by Type
2013-2014, In Millions</v>
      </c>
    </row>
    <row r="216" spans="1:5" x14ac:dyDescent="0.2">
      <c r="A216" s="13"/>
      <c r="B216" s="4" t="s">
        <v>146</v>
      </c>
      <c r="C216" s="21">
        <f>E216/1000000</f>
        <v>151.79236700000001</v>
      </c>
      <c r="D216" s="18">
        <f>N38</f>
        <v>0.46376854151186631</v>
      </c>
      <c r="E216" s="14">
        <f>M38</f>
        <v>151792367</v>
      </c>
    </row>
    <row r="217" spans="1:5" x14ac:dyDescent="0.2">
      <c r="A217" s="13"/>
      <c r="B217" s="4" t="s">
        <v>147</v>
      </c>
      <c r="C217" s="21">
        <f>E217/1000000</f>
        <v>172.180857</v>
      </c>
      <c r="D217" s="18">
        <f t="shared" ref="D217:D218" si="28">N39</f>
        <v>0.52606113538734933</v>
      </c>
      <c r="E217" s="14">
        <f t="shared" ref="E217:E218" si="29">M39</f>
        <v>172180857</v>
      </c>
    </row>
    <row r="218" spans="1:5" x14ac:dyDescent="0.2">
      <c r="A218" s="13"/>
      <c r="B218" s="4" t="s">
        <v>148</v>
      </c>
      <c r="C218" s="21">
        <f>E218/1000000</f>
        <v>3.328767</v>
      </c>
      <c r="D218" s="18">
        <f t="shared" si="28"/>
        <v>1.0170323100784315E-2</v>
      </c>
      <c r="E218" s="14">
        <f t="shared" si="29"/>
        <v>3328767</v>
      </c>
    </row>
    <row r="219" spans="1:5" x14ac:dyDescent="0.2">
      <c r="A219" s="13"/>
    </row>
    <row r="220" spans="1:5" x14ac:dyDescent="0.2">
      <c r="A220" s="5" t="s">
        <v>101</v>
      </c>
    </row>
    <row r="221" spans="1:5" x14ac:dyDescent="0.2">
      <c r="A221" s="5" t="s">
        <v>102</v>
      </c>
    </row>
    <row r="222" spans="1:5" x14ac:dyDescent="0.2">
      <c r="A222" s="13"/>
      <c r="B222" s="4" t="s">
        <v>126</v>
      </c>
      <c r="C222" s="14" t="str">
        <f>CONCATENATE("Need-Based Aid Distributed to Undergraduate Students, by Type"&amp;CHAR(10)&amp;C2, ", In Millions")</f>
        <v>Need-Based Aid Distributed to Undergraduate Students, by Type
2013-2014, In Millions</v>
      </c>
    </row>
    <row r="223" spans="1:5" x14ac:dyDescent="0.2">
      <c r="A223" s="13"/>
      <c r="B223" s="4" t="s">
        <v>146</v>
      </c>
      <c r="C223" s="21">
        <f>E223/1000000</f>
        <v>114.681181</v>
      </c>
      <c r="D223" s="18">
        <f>D38</f>
        <v>0.72894069094386649</v>
      </c>
      <c r="E223" s="14">
        <f>C38</f>
        <v>114681181</v>
      </c>
    </row>
    <row r="224" spans="1:5" x14ac:dyDescent="0.2">
      <c r="A224" s="13"/>
      <c r="B224" s="4" t="s">
        <v>147</v>
      </c>
      <c r="C224" s="21">
        <f>E224/1000000</f>
        <v>39.315857000000001</v>
      </c>
      <c r="D224" s="18">
        <f t="shared" ref="D224:D225" si="30">D39</f>
        <v>0.24990087926135193</v>
      </c>
      <c r="E224" s="14">
        <f t="shared" ref="E224:E225" si="31">C39</f>
        <v>39315857</v>
      </c>
    </row>
    <row r="225" spans="1:5" x14ac:dyDescent="0.2">
      <c r="A225" s="13"/>
      <c r="B225" s="4" t="s">
        <v>148</v>
      </c>
      <c r="C225" s="21">
        <f>E225/1000000</f>
        <v>3.328767</v>
      </c>
      <c r="D225" s="18">
        <f t="shared" si="30"/>
        <v>2.1158429794781601E-2</v>
      </c>
      <c r="E225" s="14">
        <f t="shared" si="31"/>
        <v>3328767</v>
      </c>
    </row>
    <row r="226" spans="1:5" x14ac:dyDescent="0.2">
      <c r="A226" s="13"/>
    </row>
    <row r="227" spans="1:5" x14ac:dyDescent="0.2">
      <c r="A227" s="5" t="s">
        <v>103</v>
      </c>
    </row>
    <row r="228" spans="1:5" x14ac:dyDescent="0.2">
      <c r="A228" s="5" t="s">
        <v>104</v>
      </c>
    </row>
    <row r="229" spans="1:5" x14ac:dyDescent="0.2">
      <c r="B229" s="4" t="s">
        <v>126</v>
      </c>
      <c r="C229" s="14" t="str">
        <f>CONCATENATE("Need-Based Aid Distributed to Graduate/Professional Students, by Type"&amp;CHAR(10)&amp;C2, ", In Millions")</f>
        <v>Need-Based Aid Distributed to Graduate/Professional Students, by Type
2013-2014, In Millions</v>
      </c>
    </row>
    <row r="230" spans="1:5" x14ac:dyDescent="0.2">
      <c r="B230" s="4" t="s">
        <v>146</v>
      </c>
      <c r="C230" s="21">
        <f>E230/1000000</f>
        <v>37.111185999999996</v>
      </c>
      <c r="D230" s="18">
        <f>I38</f>
        <v>0.21833167853289753</v>
      </c>
      <c r="E230" s="14">
        <f>H38</f>
        <v>37111186</v>
      </c>
    </row>
    <row r="231" spans="1:5" x14ac:dyDescent="0.2">
      <c r="B231" s="4" t="s">
        <v>147</v>
      </c>
      <c r="C231" s="21">
        <f>E231/1000000</f>
        <v>132.86500000000001</v>
      </c>
      <c r="D231" s="18">
        <f t="shared" ref="D231:D232" si="32">I39</f>
        <v>0.78166832146710241</v>
      </c>
      <c r="E231" s="14">
        <f t="shared" ref="E231:E232" si="33">H39</f>
        <v>132865000</v>
      </c>
    </row>
    <row r="232" spans="1:5" x14ac:dyDescent="0.2">
      <c r="B232" s="4" t="s">
        <v>148</v>
      </c>
      <c r="C232" s="21">
        <f>E232/1000000</f>
        <v>0</v>
      </c>
      <c r="D232" s="20">
        <f t="shared" si="32"/>
        <v>0</v>
      </c>
      <c r="E232" s="14">
        <f t="shared" si="33"/>
        <v>0</v>
      </c>
    </row>
    <row r="236" spans="1:5" x14ac:dyDescent="0.2">
      <c r="A236" t="s">
        <v>217</v>
      </c>
    </row>
    <row r="237" spans="1:5" x14ac:dyDescent="0.2">
      <c r="B237" t="s">
        <v>143</v>
      </c>
      <c r="C237" s="30">
        <f>C9</f>
        <v>11887</v>
      </c>
      <c r="D237" s="8">
        <f>C237/C239</f>
        <v>0.57195785016600109</v>
      </c>
    </row>
    <row r="238" spans="1:5" x14ac:dyDescent="0.2">
      <c r="B238" t="s">
        <v>218</v>
      </c>
      <c r="C238" s="30">
        <f>H9</f>
        <v>8896</v>
      </c>
      <c r="D238" s="8">
        <f>C238/C239</f>
        <v>0.42804214983399896</v>
      </c>
    </row>
    <row r="239" spans="1:5" x14ac:dyDescent="0.2">
      <c r="B239" t="s">
        <v>5</v>
      </c>
      <c r="C239" s="30">
        <f>M9</f>
        <v>20783</v>
      </c>
    </row>
    <row r="241" spans="1:5" x14ac:dyDescent="0.2">
      <c r="A241" t="s">
        <v>219</v>
      </c>
    </row>
    <row r="242" spans="1:5" x14ac:dyDescent="0.2">
      <c r="B242" t="s">
        <v>138</v>
      </c>
      <c r="C242" s="31">
        <f>C98</f>
        <v>200.95062100000001</v>
      </c>
      <c r="D242" s="8">
        <f t="shared" ref="D242:E242" si="34">D98</f>
        <v>0.4704429552631787</v>
      </c>
      <c r="E242" s="31">
        <f t="shared" si="34"/>
        <v>200950621</v>
      </c>
    </row>
    <row r="243" spans="1:5" x14ac:dyDescent="0.2">
      <c r="B243" t="s">
        <v>139</v>
      </c>
      <c r="C243" s="31">
        <f t="shared" ref="C243:E244" si="35">C99</f>
        <v>20.363997000000001</v>
      </c>
      <c r="D243" s="8">
        <f t="shared" si="35"/>
        <v>4.767389561662766E-2</v>
      </c>
      <c r="E243" s="31">
        <f t="shared" si="35"/>
        <v>20363997</v>
      </c>
    </row>
    <row r="244" spans="1:5" x14ac:dyDescent="0.2">
      <c r="B244" t="s">
        <v>140</v>
      </c>
      <c r="C244" s="31">
        <f t="shared" si="35"/>
        <v>205.837322</v>
      </c>
      <c r="D244" s="8">
        <f t="shared" si="35"/>
        <v>0.48188314912019364</v>
      </c>
      <c r="E244" s="31">
        <f t="shared" si="35"/>
        <v>205837322</v>
      </c>
    </row>
    <row r="245" spans="1:5" x14ac:dyDescent="0.2">
      <c r="B245" t="s">
        <v>5</v>
      </c>
      <c r="C245" s="31">
        <f>SUM(C242:C244)</f>
        <v>427.15194000000002</v>
      </c>
      <c r="D245" s="8">
        <f t="shared" ref="D245:E245" si="36">SUM(D242:D244)</f>
        <v>1</v>
      </c>
      <c r="E245" s="31">
        <f t="shared" si="36"/>
        <v>427151940</v>
      </c>
    </row>
    <row r="247" spans="1:5" x14ac:dyDescent="0.2">
      <c r="A247" t="s">
        <v>220</v>
      </c>
    </row>
    <row r="248" spans="1:5" x14ac:dyDescent="0.2">
      <c r="B248" t="s">
        <v>221</v>
      </c>
      <c r="C248">
        <f>C10</f>
        <v>7932</v>
      </c>
      <c r="D248" s="33">
        <f>C248/C251</f>
        <v>0.43179096352749047</v>
      </c>
    </row>
    <row r="249" spans="1:5" x14ac:dyDescent="0.2">
      <c r="B249" t="s">
        <v>222</v>
      </c>
      <c r="C249">
        <f>C7</f>
        <v>6483</v>
      </c>
      <c r="D249" s="33">
        <f>C249/C251</f>
        <v>0.35291235710397389</v>
      </c>
    </row>
    <row r="250" spans="1:5" x14ac:dyDescent="0.2">
      <c r="B250" t="s">
        <v>223</v>
      </c>
      <c r="C250">
        <f>C11</f>
        <v>3955</v>
      </c>
      <c r="D250" s="33">
        <f>C250/C251</f>
        <v>0.21529667936853567</v>
      </c>
    </row>
    <row r="251" spans="1:5" x14ac:dyDescent="0.2">
      <c r="B251" t="s">
        <v>224</v>
      </c>
      <c r="C251">
        <f>SUM(C248:C250)</f>
        <v>18370</v>
      </c>
    </row>
    <row r="253" spans="1:5" x14ac:dyDescent="0.2">
      <c r="A253" t="s">
        <v>225</v>
      </c>
    </row>
    <row r="254" spans="1:5" x14ac:dyDescent="0.2">
      <c r="B254" t="s">
        <v>226</v>
      </c>
      <c r="C254">
        <f>C14</f>
        <v>7932</v>
      </c>
      <c r="D254" s="8">
        <f>D14</f>
        <v>0.43179096352749047</v>
      </c>
    </row>
    <row r="256" spans="1:5" x14ac:dyDescent="0.2">
      <c r="A256" t="s">
        <v>227</v>
      </c>
    </row>
    <row r="257" spans="1:12" x14ac:dyDescent="0.2">
      <c r="B257" t="s">
        <v>2</v>
      </c>
      <c r="C257" s="34">
        <f>D38</f>
        <v>0.72894069094386649</v>
      </c>
    </row>
    <row r="258" spans="1:12" x14ac:dyDescent="0.2">
      <c r="B258" t="s">
        <v>8</v>
      </c>
      <c r="C258" s="34">
        <f>D40</f>
        <v>2.1158429794781601E-2</v>
      </c>
    </row>
    <row r="259" spans="1:12" x14ac:dyDescent="0.2">
      <c r="B259" t="s">
        <v>9</v>
      </c>
      <c r="C259" s="34">
        <f>D39</f>
        <v>0.24990087926135193</v>
      </c>
    </row>
    <row r="261" spans="1:12" x14ac:dyDescent="0.2">
      <c r="A261" t="s">
        <v>228</v>
      </c>
    </row>
    <row r="262" spans="1:12" x14ac:dyDescent="0.2">
      <c r="B262" t="s">
        <v>2</v>
      </c>
      <c r="C262" s="34">
        <f>C257</f>
        <v>0.72894069094386649</v>
      </c>
    </row>
    <row r="263" spans="1:12" x14ac:dyDescent="0.2">
      <c r="B263" t="s">
        <v>9</v>
      </c>
      <c r="C263" s="34">
        <f>C259</f>
        <v>0.24990087926135193</v>
      </c>
    </row>
    <row r="264" spans="1:12" x14ac:dyDescent="0.2">
      <c r="B264" t="s">
        <v>8</v>
      </c>
      <c r="C264" s="34">
        <f>C258</f>
        <v>2.1158429794781601E-2</v>
      </c>
    </row>
    <row r="266" spans="1:12" x14ac:dyDescent="0.2">
      <c r="A266" t="s">
        <v>229</v>
      </c>
      <c r="G266" t="s">
        <v>235</v>
      </c>
    </row>
    <row r="267" spans="1:12" x14ac:dyDescent="0.2">
      <c r="B267" t="s">
        <v>230</v>
      </c>
      <c r="C267" s="31">
        <f>C245</f>
        <v>427.15194000000002</v>
      </c>
      <c r="E267" s="31">
        <f>E245</f>
        <v>427151940</v>
      </c>
      <c r="G267" s="30">
        <f>64193079+71903064</f>
        <v>136096143</v>
      </c>
      <c r="H267" s="35">
        <f>G267/1000000</f>
        <v>136.09614300000001</v>
      </c>
    </row>
    <row r="268" spans="1:12" x14ac:dyDescent="0.2">
      <c r="B268" t="s">
        <v>231</v>
      </c>
      <c r="C268" s="30">
        <f>M6</f>
        <v>20783</v>
      </c>
      <c r="G268" s="30">
        <f>8274+4120</f>
        <v>12394</v>
      </c>
    </row>
    <row r="269" spans="1:12" x14ac:dyDescent="0.2">
      <c r="B269" t="s">
        <v>232</v>
      </c>
      <c r="C269" s="30">
        <f>E267/C268</f>
        <v>20552.949044892459</v>
      </c>
      <c r="G269" s="30">
        <f>G267/G268</f>
        <v>10980.808697756978</v>
      </c>
      <c r="J269" t="s">
        <v>236</v>
      </c>
      <c r="L269" t="s">
        <v>237</v>
      </c>
    </row>
    <row r="270" spans="1:12" x14ac:dyDescent="0.2">
      <c r="B270" t="s">
        <v>138</v>
      </c>
      <c r="C270" s="34">
        <f>N18</f>
        <v>0.4704429552631787</v>
      </c>
      <c r="G270">
        <f>J270+L270</f>
        <v>74423818</v>
      </c>
      <c r="H270" s="8">
        <f>G270/G267</f>
        <v>0.54684737097949943</v>
      </c>
      <c r="I270" t="s">
        <v>138</v>
      </c>
      <c r="J270">
        <v>28572352</v>
      </c>
      <c r="L270">
        <v>45851466</v>
      </c>
    </row>
    <row r="271" spans="1:12" x14ac:dyDescent="0.2">
      <c r="B271" t="s">
        <v>139</v>
      </c>
      <c r="C271" s="34">
        <f t="shared" ref="C271:C272" si="37">N19</f>
        <v>4.767389561662766E-2</v>
      </c>
      <c r="G271">
        <f t="shared" ref="G271:G275" si="38">J271+L271</f>
        <v>12454356</v>
      </c>
      <c r="H271" s="8">
        <f>G271/G267</f>
        <v>9.1511454516385524E-2</v>
      </c>
      <c r="I271" t="s">
        <v>139</v>
      </c>
      <c r="J271">
        <v>5184436</v>
      </c>
      <c r="L271">
        <v>7269920</v>
      </c>
    </row>
    <row r="272" spans="1:12" x14ac:dyDescent="0.2">
      <c r="B272" t="s">
        <v>233</v>
      </c>
      <c r="C272" s="34">
        <f t="shared" si="37"/>
        <v>0.48188314912019364</v>
      </c>
      <c r="G272">
        <f t="shared" si="38"/>
        <v>49217969</v>
      </c>
      <c r="H272" s="8">
        <f>G272/G267</f>
        <v>0.36164117450411509</v>
      </c>
      <c r="I272" t="s">
        <v>233</v>
      </c>
      <c r="J272">
        <v>30436291</v>
      </c>
      <c r="L272">
        <v>18781678</v>
      </c>
    </row>
    <row r="273" spans="2:12" x14ac:dyDescent="0.2">
      <c r="B273" t="s">
        <v>234</v>
      </c>
      <c r="C273" s="34">
        <f>N23</f>
        <v>0.53194321783498577</v>
      </c>
      <c r="G273">
        <f t="shared" si="38"/>
        <v>60589217</v>
      </c>
      <c r="H273" s="32">
        <f>G273/G267</f>
        <v>0.44519422567324335</v>
      </c>
      <c r="I273" t="s">
        <v>234</v>
      </c>
      <c r="J273">
        <v>42155864</v>
      </c>
      <c r="L273">
        <v>18433353</v>
      </c>
    </row>
    <row r="274" spans="2:12" x14ac:dyDescent="0.2">
      <c r="B274" t="s">
        <v>8</v>
      </c>
      <c r="C274" s="34">
        <f>N25</f>
        <v>7.7969492359160324E-3</v>
      </c>
      <c r="G274">
        <f t="shared" si="38"/>
        <v>892740</v>
      </c>
      <c r="H274" s="32">
        <f>G274/G267</f>
        <v>6.5596274833446232E-3</v>
      </c>
      <c r="I274" t="s">
        <v>8</v>
      </c>
      <c r="J274">
        <v>661035</v>
      </c>
      <c r="L274">
        <v>231705</v>
      </c>
    </row>
    <row r="275" spans="2:12" x14ac:dyDescent="0.2">
      <c r="B275" t="s">
        <v>9</v>
      </c>
      <c r="C275" s="34">
        <f>N24</f>
        <v>0.46025983292909817</v>
      </c>
      <c r="G275">
        <f t="shared" si="38"/>
        <v>74614186</v>
      </c>
      <c r="H275" s="32">
        <f>G275/G267</f>
        <v>0.548246146843412</v>
      </c>
      <c r="I275" t="s">
        <v>9</v>
      </c>
      <c r="J275">
        <v>21376180</v>
      </c>
      <c r="L275">
        <v>53238006</v>
      </c>
    </row>
  </sheetData>
  <pageMargins left="0.5" right="0.5" top="0.75" bottom="0.5" header="0.5" footer="0.5"/>
  <pageSetup scale="97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J20" sqref="J20"/>
    </sheetView>
  </sheetViews>
  <sheetFormatPr defaultRowHeight="12.75" x14ac:dyDescent="0.2"/>
  <cols>
    <col min="1" max="1" width="4.7109375" customWidth="1"/>
  </cols>
  <sheetData>
    <row r="1" spans="1:2" s="1" customFormat="1" ht="17.25" customHeight="1" x14ac:dyDescent="0.2">
      <c r="A1" s="1" t="s">
        <v>190</v>
      </c>
    </row>
    <row r="2" spans="1:2" ht="17.25" customHeight="1" x14ac:dyDescent="0.2"/>
    <row r="3" spans="1:2" ht="17.25" customHeight="1" x14ac:dyDescent="0.2">
      <c r="A3" s="4" t="s">
        <v>193</v>
      </c>
    </row>
    <row r="4" spans="1:2" ht="17.25" customHeight="1" x14ac:dyDescent="0.2">
      <c r="B4" s="4" t="s">
        <v>12</v>
      </c>
    </row>
    <row r="5" spans="1:2" ht="17.25" customHeight="1" x14ac:dyDescent="0.2">
      <c r="B5" s="4" t="s">
        <v>191</v>
      </c>
    </row>
    <row r="6" spans="1:2" ht="17.25" customHeight="1" x14ac:dyDescent="0.2">
      <c r="B6" s="4" t="s">
        <v>192</v>
      </c>
    </row>
    <row r="7" spans="1:2" ht="17.25" customHeight="1" x14ac:dyDescent="0.2"/>
    <row r="8" spans="1:2" ht="17.25" customHeight="1" x14ac:dyDescent="0.2">
      <c r="A8" s="4" t="s">
        <v>194</v>
      </c>
    </row>
    <row r="9" spans="1:2" ht="17.25" customHeight="1" x14ac:dyDescent="0.2">
      <c r="A9" s="4" t="s">
        <v>199</v>
      </c>
    </row>
    <row r="10" spans="1:2" ht="17.25" customHeight="1" x14ac:dyDescent="0.2">
      <c r="A10" s="4" t="s">
        <v>195</v>
      </c>
    </row>
    <row r="11" spans="1:2" ht="17.25" customHeight="1" x14ac:dyDescent="0.2">
      <c r="A11" s="4" t="s">
        <v>196</v>
      </c>
    </row>
    <row r="12" spans="1:2" ht="17.25" customHeight="1" x14ac:dyDescent="0.2">
      <c r="A12" s="4" t="s">
        <v>197</v>
      </c>
    </row>
    <row r="13" spans="1:2" ht="17.25" customHeight="1" x14ac:dyDescent="0.2">
      <c r="A13" s="4" t="s">
        <v>201</v>
      </c>
    </row>
    <row r="14" spans="1:2" ht="17.25" customHeight="1" x14ac:dyDescent="0.2">
      <c r="A14" s="4" t="s">
        <v>202</v>
      </c>
    </row>
    <row r="15" spans="1:2" ht="17.25" customHeight="1" x14ac:dyDescent="0.2">
      <c r="A15" s="4" t="s">
        <v>198</v>
      </c>
    </row>
    <row r="16" spans="1:2" ht="17.25" customHeight="1" x14ac:dyDescent="0.2">
      <c r="A16" s="4" t="s">
        <v>216</v>
      </c>
    </row>
    <row r="17" spans="1:1" ht="17.25" customHeight="1" x14ac:dyDescent="0.2"/>
    <row r="18" spans="1:1" ht="17.25" customHeight="1" x14ac:dyDescent="0.2">
      <c r="A18" t="s">
        <v>238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7" baseType="lpstr">
      <vt:lpstr>Chart2GP-UGRecvgAid</vt:lpstr>
      <vt:lpstr>Chart6AidByType</vt:lpstr>
      <vt:lpstr>SOURCE DATA</vt:lpstr>
      <vt:lpstr>Updating Instructions</vt:lpstr>
      <vt:lpstr>Chart1TotalEnrollment</vt:lpstr>
      <vt:lpstr>Chart3SplitElig_NoNeed</vt:lpstr>
      <vt:lpstr>Chart4TotalAidBySource</vt:lpstr>
      <vt:lpstr>Chart4a UGTotalAidBySource</vt:lpstr>
      <vt:lpstr>Chart4bGRADPROFTotalAidBySource</vt:lpstr>
      <vt:lpstr>Chart5SplitAidEligGP-GU</vt:lpstr>
      <vt:lpstr>Chart7UndergradNeedBased</vt:lpstr>
      <vt:lpstr>Chart8InStateFreshmanAid</vt:lpstr>
      <vt:lpstr>Chart9NeedAidBySource</vt:lpstr>
      <vt:lpstr>Chart10UGNeedAidBySource </vt:lpstr>
      <vt:lpstr>Chart11GRADPNeedAidBySource </vt:lpstr>
      <vt:lpstr>Chart12TOTAL_GiftAidBySource   </vt:lpstr>
      <vt:lpstr>Chart13UG_GiftAidBySource </vt:lpstr>
      <vt:lpstr>Chart14GRADPR_GiftAidBySource  </vt:lpstr>
      <vt:lpstr>Chart15TotalAidByType</vt:lpstr>
      <vt:lpstr>Chart16UG TotalAidByType </vt:lpstr>
      <vt:lpstr>Chart17GradProf TotalAidByType</vt:lpstr>
      <vt:lpstr>Chart18NeedAidByType</vt:lpstr>
      <vt:lpstr>Chart19UG NeedAidByType</vt:lpstr>
      <vt:lpstr>Chart20GradProf NeedAidByType</vt:lpstr>
      <vt:lpstr>'Chart2GP-UGRecvgAid'!Print_Area</vt:lpstr>
      <vt:lpstr>Chart6AidByType!Print_Area</vt:lpstr>
      <vt:lpstr>'SOURCE DATA'!Print_Area</vt:lpstr>
    </vt:vector>
  </TitlesOfParts>
  <Company>NCS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 Client</dc:creator>
  <cp:lastModifiedBy>ort</cp:lastModifiedBy>
  <cp:lastPrinted>2013-11-15T15:50:39Z</cp:lastPrinted>
  <dcterms:created xsi:type="dcterms:W3CDTF">2000-12-07T15:13:52Z</dcterms:created>
  <dcterms:modified xsi:type="dcterms:W3CDTF">2015-04-13T18:44:10Z</dcterms:modified>
</cp:coreProperties>
</file>